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Por_Consumos" sheetId="1" r:id="rId1"/>
    <sheet name="Por_Excesos" sheetId="2" r:id="rId2"/>
    <sheet name="Hoja3" sheetId="3" r:id="rId3"/>
  </sheets>
  <definedNames>
    <definedName name="periodos">'Hoja3'!$A$3:$A$4</definedName>
  </definedNames>
  <calcPr fullCalcOnLoad="1"/>
</workbook>
</file>

<file path=xl/sharedStrings.xml><?xml version="1.0" encoding="utf-8"?>
<sst xmlns="http://schemas.openxmlformats.org/spreadsheetml/2006/main" count="336" uniqueCount="194">
  <si>
    <t>Para/To:</t>
  </si>
  <si>
    <t>De /  From:</t>
  </si>
  <si>
    <t>Compañía / Company:</t>
  </si>
  <si>
    <t>Ref. Calculo</t>
  </si>
  <si>
    <t>Fax.</t>
  </si>
  <si>
    <t>Paginas / Pages</t>
  </si>
  <si>
    <t>Tel.</t>
  </si>
  <si>
    <t>Fecha / Date</t>
  </si>
  <si>
    <t>Calculo de reactiva tarifas electricas 2010 ( según BOE 315 del 31/12/2009)</t>
  </si>
  <si>
    <t>P1</t>
  </si>
  <si>
    <t>P2</t>
  </si>
  <si>
    <t>P3</t>
  </si>
  <si>
    <t>P4</t>
  </si>
  <si>
    <t>P5</t>
  </si>
  <si>
    <t>P6</t>
  </si>
  <si>
    <t>P</t>
  </si>
  <si>
    <t>Exceso</t>
  </si>
  <si>
    <t>Penalizacion 2009</t>
  </si>
  <si>
    <t>Penalización 2010</t>
  </si>
  <si>
    <t>Periodos</t>
  </si>
  <si>
    <t>Cos phi</t>
  </si>
  <si>
    <t>Consumo kWh</t>
  </si>
  <si>
    <t>Consumo kvarh</t>
  </si>
  <si>
    <t xml:space="preserve">Cos phi </t>
  </si>
  <si>
    <t>Calculo por consumos</t>
  </si>
  <si>
    <r>
      <t xml:space="preserve">Cos </t>
    </r>
    <r>
      <rPr>
        <b/>
        <sz val="12"/>
        <color indexed="8"/>
        <rFont val="Symbol"/>
        <family val="1"/>
      </rPr>
      <t>j</t>
    </r>
  </si>
  <si>
    <t>Cos phi recargos</t>
  </si>
  <si>
    <t>Penalización 2009</t>
  </si>
  <si>
    <t>€/kvar 2009</t>
  </si>
  <si>
    <t>€/kvar 2010</t>
  </si>
  <si>
    <t>La columna P puede ser el valor en kW de la potencia contratada o de maximetro</t>
  </si>
  <si>
    <t xml:space="preserve">TOTAL </t>
  </si>
  <si>
    <t>tg phi</t>
  </si>
  <si>
    <r>
      <t xml:space="preserve">Cos </t>
    </r>
    <r>
      <rPr>
        <b/>
        <sz val="12"/>
        <color indexed="8"/>
        <rFont val="Symbol"/>
        <family val="1"/>
      </rPr>
      <t xml:space="preserve">j </t>
    </r>
    <r>
      <rPr>
        <b/>
        <sz val="10"/>
        <color indexed="8"/>
        <rFont val="Arial"/>
        <family val="2"/>
      </rPr>
      <t>objetivo</t>
    </r>
  </si>
  <si>
    <t>tg phi objetivo</t>
  </si>
  <si>
    <t>Modelo</t>
  </si>
  <si>
    <t>Composición</t>
  </si>
  <si>
    <t>Tensión nominal</t>
  </si>
  <si>
    <t>Potencia a tensión nominal</t>
  </si>
  <si>
    <t>Regulación</t>
  </si>
  <si>
    <t>Frecuencia</t>
  </si>
  <si>
    <t>Potencia a 400 V</t>
  </si>
  <si>
    <t>Amortización</t>
  </si>
  <si>
    <t>Amortización por consumos</t>
  </si>
  <si>
    <t>Bateria de condensadores</t>
  </si>
  <si>
    <t>Exceso kvarh</t>
  </si>
  <si>
    <t>Calculo por exceso</t>
  </si>
  <si>
    <t>Total</t>
  </si>
  <si>
    <t>Consumo kvar</t>
  </si>
  <si>
    <t>Exceso kvar</t>
  </si>
  <si>
    <t>Cliente:</t>
  </si>
  <si>
    <t>Tarifa/ NºPeriodos:</t>
  </si>
  <si>
    <t>Fecha factura:</t>
  </si>
  <si>
    <t>Bateria necesaria (*)</t>
  </si>
  <si>
    <r>
      <t xml:space="preserve">(*) </t>
    </r>
    <r>
      <rPr>
        <i/>
        <u val="single"/>
        <sz val="9"/>
        <rFont val="Arial"/>
        <family val="2"/>
      </rPr>
      <t>Potencia mínima bateria para coseno de phi objetivo seleccionado.</t>
    </r>
  </si>
  <si>
    <t>La columna P puede ser el valor en kW de la potencia contratada o preferiblemente la potencia de maximetro</t>
  </si>
  <si>
    <t>Calculo introduciendo los consumos totales de energia reactiva (kvarh) en contador/factura.</t>
  </si>
  <si>
    <t>Calculo introduciendo los excesos de energia reactiva (kvarh facturados por compañía eléctrica)</t>
  </si>
  <si>
    <t>Comentarios:</t>
  </si>
  <si>
    <t>Amortización (**)</t>
  </si>
  <si>
    <r>
      <t xml:space="preserve">(**) </t>
    </r>
    <r>
      <rPr>
        <i/>
        <u val="single"/>
        <sz val="9"/>
        <rFont val="Arial"/>
        <family val="2"/>
      </rPr>
      <t>Periodo de amortización calculado según importe introducido en casilla "Precio bateria"</t>
    </r>
  </si>
  <si>
    <t>Precio Bateria</t>
  </si>
  <si>
    <t>Otros</t>
  </si>
  <si>
    <t>Supl. Int. Automático</t>
  </si>
  <si>
    <t>Supl. Int. Manual</t>
  </si>
  <si>
    <t>Supl. Int. Aut.+ Diferencial</t>
  </si>
  <si>
    <t xml:space="preserve">STD3-7,5-440 </t>
  </si>
  <si>
    <t>2,5+5</t>
  </si>
  <si>
    <t>1.2.2.</t>
  </si>
  <si>
    <t xml:space="preserve">STD3-12,5-440 </t>
  </si>
  <si>
    <t>2,5+2x5</t>
  </si>
  <si>
    <t xml:space="preserve">STD3-17,5-440 </t>
  </si>
  <si>
    <t>2,5+5+10</t>
  </si>
  <si>
    <t>1.2.4.</t>
  </si>
  <si>
    <t xml:space="preserve">STD3-25-440 </t>
  </si>
  <si>
    <t>5+2x10</t>
  </si>
  <si>
    <t xml:space="preserve">STD3-31,25-440 </t>
  </si>
  <si>
    <t>6,25+2x12,5</t>
  </si>
  <si>
    <t xml:space="preserve">STD3-37,5-440 </t>
  </si>
  <si>
    <t>7,5+2x15</t>
  </si>
  <si>
    <t xml:space="preserve">STD4-43,75-440 </t>
  </si>
  <si>
    <t>6,25+3x12,5</t>
  </si>
  <si>
    <t xml:space="preserve">STD4-50-440 </t>
  </si>
  <si>
    <t>10+2x20</t>
  </si>
  <si>
    <t xml:space="preserve">STD4-55-440 </t>
  </si>
  <si>
    <t>5+10+2x20</t>
  </si>
  <si>
    <t xml:space="preserve">STD4-60-440 </t>
  </si>
  <si>
    <t>3x20</t>
  </si>
  <si>
    <t>1.1.1.</t>
  </si>
  <si>
    <t xml:space="preserve">STD4-70-440 </t>
  </si>
  <si>
    <t>10+3x20</t>
  </si>
  <si>
    <t xml:space="preserve">STD4-80-440 </t>
  </si>
  <si>
    <t>4x20</t>
  </si>
  <si>
    <t>STD4-87,5-440</t>
  </si>
  <si>
    <t>12,5+3x25</t>
  </si>
  <si>
    <t>STD4-100-440</t>
  </si>
  <si>
    <t>4x25</t>
  </si>
  <si>
    <t xml:space="preserve">STD6-105-440 </t>
  </si>
  <si>
    <t>15+3x30</t>
  </si>
  <si>
    <t xml:space="preserve">STD6-120-440 </t>
  </si>
  <si>
    <t>4x30</t>
  </si>
  <si>
    <t xml:space="preserve">STD6-135-440 </t>
  </si>
  <si>
    <t>15+4x30</t>
  </si>
  <si>
    <t xml:space="preserve">STD6-150-440 </t>
  </si>
  <si>
    <t>5x30</t>
  </si>
  <si>
    <t xml:space="preserve">STD6-165-440 </t>
  </si>
  <si>
    <t>15+5x30</t>
  </si>
  <si>
    <t xml:space="preserve">STD6-180-440 </t>
  </si>
  <si>
    <t>6x30</t>
  </si>
  <si>
    <t xml:space="preserve">STD12-195-440 </t>
  </si>
  <si>
    <t>15+6x30</t>
  </si>
  <si>
    <t xml:space="preserve">STD12-210-440 </t>
  </si>
  <si>
    <t>7x30</t>
  </si>
  <si>
    <t xml:space="preserve">STD12-225-440 </t>
  </si>
  <si>
    <t>15+7x30</t>
  </si>
  <si>
    <t xml:space="preserve">STD12-240-440 </t>
  </si>
  <si>
    <t>8x30</t>
  </si>
  <si>
    <t xml:space="preserve">STD12-255-440 </t>
  </si>
  <si>
    <t>15+8x30</t>
  </si>
  <si>
    <t xml:space="preserve">STD12-270-440 </t>
  </si>
  <si>
    <t>9x30</t>
  </si>
  <si>
    <t xml:space="preserve">STD12-285-440 </t>
  </si>
  <si>
    <t>15+9x30</t>
  </si>
  <si>
    <t xml:space="preserve">STD12-300-440 </t>
  </si>
  <si>
    <t>10x30</t>
  </si>
  <si>
    <t xml:space="preserve">STD12-315-440 </t>
  </si>
  <si>
    <t>15+10x30</t>
  </si>
  <si>
    <t xml:space="preserve">STD12-330-440 </t>
  </si>
  <si>
    <t>11x30</t>
  </si>
  <si>
    <t xml:space="preserve">STD12-345-440 </t>
  </si>
  <si>
    <t>15+11x30</t>
  </si>
  <si>
    <t xml:space="preserve">STD12-360-440 </t>
  </si>
  <si>
    <t>12x30</t>
  </si>
  <si>
    <t xml:space="preserve">STD8-330-440 </t>
  </si>
  <si>
    <t>30+5x60</t>
  </si>
  <si>
    <t xml:space="preserve">STD8-360-440 </t>
  </si>
  <si>
    <t>6x60</t>
  </si>
  <si>
    <t xml:space="preserve">STD8-390-440 </t>
  </si>
  <si>
    <t>30+6x60</t>
  </si>
  <si>
    <t xml:space="preserve">STD8-420-440 </t>
  </si>
  <si>
    <t>7x60</t>
  </si>
  <si>
    <t xml:space="preserve">STD8-450-440 </t>
  </si>
  <si>
    <t>30+7x60</t>
  </si>
  <si>
    <t xml:space="preserve">STD8-480-440 </t>
  </si>
  <si>
    <t>8x60</t>
  </si>
  <si>
    <t>STD SC8-450-440</t>
  </si>
  <si>
    <t>50+4x100</t>
  </si>
  <si>
    <t>STD SC8-500-440</t>
  </si>
  <si>
    <t>5x100</t>
  </si>
  <si>
    <t>STD SC8-550-440</t>
  </si>
  <si>
    <t>50+5x100</t>
  </si>
  <si>
    <t>STD SC8-600-440</t>
  </si>
  <si>
    <t>6x100</t>
  </si>
  <si>
    <t>STD SC8-650-440</t>
  </si>
  <si>
    <t>50+6x100</t>
  </si>
  <si>
    <t>STD SC8-700-440</t>
  </si>
  <si>
    <t>7x100</t>
  </si>
  <si>
    <t>STD SC8-750-440</t>
  </si>
  <si>
    <t>50+7x100</t>
  </si>
  <si>
    <t>STD SC8-800-440</t>
  </si>
  <si>
    <t>8x100</t>
  </si>
  <si>
    <t>STD SC16-900-440</t>
  </si>
  <si>
    <t>2x50+8x100</t>
  </si>
  <si>
    <t>1.1.2.</t>
  </si>
  <si>
    <t>STD SC16-950-440</t>
  </si>
  <si>
    <t>50+9x100</t>
  </si>
  <si>
    <t>STD SC16-1000-440</t>
  </si>
  <si>
    <t>10x100</t>
  </si>
  <si>
    <t>STD SC16-1050-440</t>
  </si>
  <si>
    <t>50+10x100</t>
  </si>
  <si>
    <t>STD SC16-1100-440</t>
  </si>
  <si>
    <t>11x100</t>
  </si>
  <si>
    <t>STD SC16-1150-440</t>
  </si>
  <si>
    <t>50+11x100</t>
  </si>
  <si>
    <t>STD SC16-1200-440</t>
  </si>
  <si>
    <t>12x100</t>
  </si>
  <si>
    <t>STD SC16-1300-440</t>
  </si>
  <si>
    <t>100+6x200</t>
  </si>
  <si>
    <t>STD SC16-1400-440</t>
  </si>
  <si>
    <t>2x100+6x200</t>
  </si>
  <si>
    <t>STD SC16-1500-440</t>
  </si>
  <si>
    <t>100+7x200</t>
  </si>
  <si>
    <t>STD SC16-1600-440</t>
  </si>
  <si>
    <t>2x100+7x200</t>
  </si>
  <si>
    <t>Por consumo</t>
  </si>
  <si>
    <t>Por exceso</t>
  </si>
  <si>
    <t>Ratio</t>
  </si>
  <si>
    <t>Cos phi parcial</t>
  </si>
  <si>
    <t>Cos phi ponderado</t>
  </si>
  <si>
    <t>Qcalculada</t>
  </si>
  <si>
    <t>Qreal ponderada</t>
  </si>
  <si>
    <t>Q real ponderada</t>
  </si>
  <si>
    <r>
      <t xml:space="preserve">Cos </t>
    </r>
    <r>
      <rPr>
        <b/>
        <sz val="12"/>
        <color indexed="8"/>
        <rFont val="Symbol"/>
        <family val="1"/>
      </rPr>
      <t xml:space="preserve">j </t>
    </r>
    <r>
      <rPr>
        <b/>
        <sz val="10"/>
        <color indexed="8"/>
        <rFont val="Arial"/>
        <family val="2"/>
      </rPr>
      <t>Ponderado</t>
    </r>
  </si>
  <si>
    <t xml:space="preserve">CIRCUTOR, SA no se hace responsable de la veracidad de los datos introducidos por el usuario. Esta aplicación calcula la potencia del equipo de compensación de reactiva a facturas, recibos eléctricos y consumo facilitados por el usuario. Por tanto, CIRCUTOR, SA no asume responsabilidad alguna por los errores u omisiones en la información y documentos a los cuales se haga referencia en esta aplicación. CIRCUTOR, SA recomienda que complementariamente se realicen mediciones con un analizador de redes AR.5L para contrastar la información y determinar los niveles de armónicos existentes en la instalación.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</si>
</sst>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0\ &quot;€&quot;"/>
    <numFmt numFmtId="194" formatCode="[$-C0A]dddd\,\ dd&quot; de &quot;mmmm&quot; de &quot;yyyy"/>
    <numFmt numFmtId="195" formatCode="#\ &quot;meses&quot;"/>
    <numFmt numFmtId="196" formatCode="0\ &quot;V&quot;"/>
    <numFmt numFmtId="197" formatCode="0.0\ &quot;kvar&quot;"/>
    <numFmt numFmtId="198" formatCode="General\ &quot;Hz&quot;"/>
    <numFmt numFmtId="199" formatCode="0\ &quot;kvar&quot;"/>
    <numFmt numFmtId="200" formatCode="0.00\ &quot;kvar&quot;"/>
    <numFmt numFmtId="201" formatCode="0\ &quot;Hz&quot;"/>
    <numFmt numFmtId="202" formatCode="General\ &quot;kvar&quot;"/>
    <numFmt numFmtId="203" formatCode="General\ &quot;V&quot;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1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6"/>
      <name val="Helvetic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Symbol"/>
      <family val="1"/>
    </font>
    <font>
      <sz val="8"/>
      <name val="Arial"/>
      <family val="0"/>
    </font>
    <font>
      <i/>
      <u val="single"/>
      <sz val="9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" borderId="3" xfId="0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3" xfId="0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193" fontId="0" fillId="4" borderId="3" xfId="0" applyNumberFormat="1" applyFill="1" applyBorder="1" applyAlignment="1">
      <alignment horizontal="center"/>
    </xf>
    <xf numFmtId="193" fontId="0" fillId="0" borderId="3" xfId="0" applyNumberFormat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2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 vertical="top" wrapText="1"/>
    </xf>
    <xf numFmtId="2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/>
    </xf>
    <xf numFmtId="196" fontId="0" fillId="2" borderId="3" xfId="0" applyNumberFormat="1" applyFill="1" applyBorder="1" applyAlignment="1" quotePrefix="1">
      <alignment horizontal="center"/>
    </xf>
    <xf numFmtId="197" fontId="0" fillId="2" borderId="3" xfId="0" applyNumberFormat="1" applyFill="1" applyBorder="1" applyAlignment="1">
      <alignment horizontal="center"/>
    </xf>
    <xf numFmtId="198" fontId="0" fillId="2" borderId="3" xfId="0" applyNumberFormat="1" applyFill="1" applyBorder="1" applyAlignment="1">
      <alignment horizontal="center"/>
    </xf>
    <xf numFmtId="199" fontId="0" fillId="2" borderId="3" xfId="0" applyNumberFormat="1" applyFill="1" applyBorder="1" applyAlignment="1">
      <alignment horizontal="center"/>
    </xf>
    <xf numFmtId="20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196" fontId="0" fillId="2" borderId="4" xfId="0" applyNumberFormat="1" applyFill="1" applyBorder="1" applyAlignment="1" quotePrefix="1">
      <alignment horizontal="center"/>
    </xf>
    <xf numFmtId="199" fontId="0" fillId="2" borderId="4" xfId="0" applyNumberFormat="1" applyFill="1" applyBorder="1" applyAlignment="1">
      <alignment horizontal="center"/>
    </xf>
    <xf numFmtId="198" fontId="0" fillId="2" borderId="4" xfId="0" applyNumberFormat="1" applyFill="1" applyBorder="1" applyAlignment="1">
      <alignment horizontal="center"/>
    </xf>
    <xf numFmtId="192" fontId="0" fillId="0" borderId="0" xfId="0" applyNumberFormat="1" applyAlignment="1">
      <alignment/>
    </xf>
    <xf numFmtId="0" fontId="0" fillId="2" borderId="3" xfId="0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193" fontId="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93" fontId="0" fillId="2" borderId="13" xfId="0" applyNumberFormat="1" applyFont="1" applyFill="1" applyBorder="1" applyAlignment="1" applyProtection="1">
      <alignment horizontal="center" vertical="center" wrapText="1" shrinkToFit="1"/>
      <protection locked="0"/>
    </xf>
    <xf numFmtId="193" fontId="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1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2" fillId="3" borderId="3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3" xfId="0" applyFont="1" applyBorder="1" applyAlignment="1">
      <alignment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5" borderId="6" xfId="0" applyFont="1" applyFill="1" applyBorder="1" applyAlignment="1">
      <alignment horizontal="center"/>
    </xf>
    <xf numFmtId="22" fontId="0" fillId="0" borderId="3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95" fontId="0" fillId="0" borderId="3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95" fontId="0" fillId="4" borderId="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6" borderId="0" xfId="0" applyNumberFormat="1" applyFill="1" applyAlignment="1">
      <alignment/>
    </xf>
    <xf numFmtId="0" fontId="6" fillId="3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0" borderId="1" xfId="0" applyBorder="1" applyAlignment="1" applyProtection="1">
      <alignment horizontal="justify" vertical="center" wrapText="1"/>
      <protection/>
    </xf>
    <xf numFmtId="0" fontId="0" fillId="0" borderId="13" xfId="0" applyBorder="1" applyAlignment="1" applyProtection="1">
      <alignment horizontal="justify" vertical="center" wrapText="1"/>
      <protection/>
    </xf>
    <xf numFmtId="0" fontId="0" fillId="0" borderId="2" xfId="0" applyBorder="1" applyAlignment="1" applyProtection="1">
      <alignment horizontal="justify" vertical="center" wrapText="1"/>
      <protection/>
    </xf>
    <xf numFmtId="0" fontId="0" fillId="0" borderId="0" xfId="0" applyFill="1" applyBorder="1" applyAlignment="1">
      <alignment horizontal="center"/>
    </xf>
    <xf numFmtId="0" fontId="0" fillId="4" borderId="3" xfId="0" applyFont="1" applyFill="1" applyBorder="1" applyAlignment="1" applyProtection="1">
      <alignment horizontal="center"/>
      <protection/>
    </xf>
    <xf numFmtId="203" fontId="0" fillId="4" borderId="3" xfId="0" applyNumberFormat="1" applyFont="1" applyFill="1" applyBorder="1" applyAlignment="1" applyProtection="1">
      <alignment horizontal="center"/>
      <protection/>
    </xf>
    <xf numFmtId="202" fontId="0" fillId="4" borderId="3" xfId="0" applyNumberFormat="1" applyFont="1" applyFill="1" applyBorder="1" applyAlignment="1" applyProtection="1">
      <alignment horizontal="center"/>
      <protection/>
    </xf>
    <xf numFmtId="202" fontId="0" fillId="4" borderId="1" xfId="0" applyNumberFormat="1" applyFont="1" applyFill="1" applyBorder="1" applyAlignment="1" applyProtection="1">
      <alignment horizontal="center"/>
      <protection/>
    </xf>
    <xf numFmtId="202" fontId="0" fillId="4" borderId="13" xfId="0" applyNumberFormat="1" applyFont="1" applyFill="1" applyBorder="1" applyAlignment="1" applyProtection="1">
      <alignment horizontal="center"/>
      <protection/>
    </xf>
    <xf numFmtId="202" fontId="0" fillId="4" borderId="2" xfId="0" applyNumberFormat="1" applyFont="1" applyFill="1" applyBorder="1" applyAlignment="1" applyProtection="1">
      <alignment horizontal="center"/>
      <protection/>
    </xf>
    <xf numFmtId="198" fontId="0" fillId="4" borderId="3" xfId="0" applyNumberFormat="1" applyFont="1" applyFill="1" applyBorder="1" applyAlignment="1" applyProtection="1">
      <alignment horizontal="center"/>
      <protection/>
    </xf>
    <xf numFmtId="201" fontId="0" fillId="4" borderId="3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3</xdr:col>
      <xdr:colOff>485775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438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485775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5:L71"/>
  <sheetViews>
    <sheetView showGridLines="0" workbookViewId="0" topLeftCell="A20">
      <selection activeCell="F47" sqref="F47:J47"/>
    </sheetView>
  </sheetViews>
  <sheetFormatPr defaultColWidth="11.421875" defaultRowHeight="12.75"/>
  <cols>
    <col min="1" max="1" width="9.140625" style="0" customWidth="1"/>
    <col min="2" max="2" width="11.57421875" style="0" customWidth="1"/>
    <col min="3" max="6" width="9.140625" style="0" customWidth="1"/>
    <col min="7" max="7" width="8.140625" style="0" customWidth="1"/>
    <col min="8" max="8" width="8.7109375" style="0" customWidth="1"/>
    <col min="9" max="9" width="12.8515625" style="0" bestFit="1" customWidth="1"/>
    <col min="10" max="10" width="13.57421875" style="0" customWidth="1"/>
    <col min="11" max="16384" width="9.140625" style="0" customWidth="1"/>
  </cols>
  <sheetData>
    <row r="5" spans="1:12" ht="20.25">
      <c r="A5" s="71" t="s">
        <v>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8" spans="1:12" ht="12.75" customHeight="1">
      <c r="A8" s="74" t="s">
        <v>0</v>
      </c>
      <c r="B8" s="75"/>
      <c r="C8" s="40"/>
      <c r="D8" s="58"/>
      <c r="E8" s="58"/>
      <c r="F8" s="58"/>
      <c r="G8" s="59"/>
      <c r="H8" s="56" t="s">
        <v>1</v>
      </c>
      <c r="I8" s="57"/>
      <c r="J8" s="40"/>
      <c r="K8" s="58"/>
      <c r="L8" s="59"/>
    </row>
    <row r="9" spans="1:12" ht="12.75" customHeight="1">
      <c r="A9" s="1" t="s">
        <v>2</v>
      </c>
      <c r="B9" s="2"/>
      <c r="C9" s="40"/>
      <c r="D9" s="58"/>
      <c r="E9" s="58"/>
      <c r="F9" s="58"/>
      <c r="G9" s="59"/>
      <c r="H9" s="56" t="s">
        <v>3</v>
      </c>
      <c r="I9" s="57"/>
      <c r="J9" s="66"/>
      <c r="K9" s="67"/>
      <c r="L9" s="68"/>
    </row>
    <row r="10" spans="1:12" ht="12.75" customHeight="1">
      <c r="A10" s="69" t="s">
        <v>4</v>
      </c>
      <c r="B10" s="69"/>
      <c r="C10" s="40"/>
      <c r="D10" s="58"/>
      <c r="E10" s="58"/>
      <c r="F10" s="58"/>
      <c r="G10" s="59"/>
      <c r="H10" s="56" t="s">
        <v>5</v>
      </c>
      <c r="I10" s="57"/>
      <c r="J10" s="70"/>
      <c r="K10" s="70"/>
      <c r="L10" s="70"/>
    </row>
    <row r="11" spans="1:12" ht="12.75" customHeight="1">
      <c r="A11" s="69" t="s">
        <v>6</v>
      </c>
      <c r="B11" s="69"/>
      <c r="C11" s="40"/>
      <c r="D11" s="58"/>
      <c r="E11" s="58"/>
      <c r="F11" s="58"/>
      <c r="G11" s="59"/>
      <c r="H11" s="56" t="s">
        <v>7</v>
      </c>
      <c r="I11" s="57"/>
      <c r="J11" s="73"/>
      <c r="K11" s="70"/>
      <c r="L11" s="70"/>
    </row>
    <row r="13" ht="12.75">
      <c r="A13" t="s">
        <v>56</v>
      </c>
    </row>
    <row r="15" spans="2:9" ht="12.75">
      <c r="B15" s="5" t="s">
        <v>50</v>
      </c>
      <c r="C15" s="60"/>
      <c r="D15" s="61"/>
      <c r="E15" s="61"/>
      <c r="F15" s="62"/>
      <c r="G15" s="63" t="s">
        <v>52</v>
      </c>
      <c r="H15" s="64"/>
      <c r="I15" s="39"/>
    </row>
    <row r="17" spans="2:3" ht="25.5">
      <c r="B17" s="18" t="s">
        <v>51</v>
      </c>
      <c r="C17" s="26">
        <v>3</v>
      </c>
    </row>
    <row r="20" spans="4:10" ht="30.75" customHeight="1">
      <c r="D20" s="10" t="s">
        <v>21</v>
      </c>
      <c r="E20" s="10" t="s">
        <v>22</v>
      </c>
      <c r="F20" s="11" t="s">
        <v>15</v>
      </c>
      <c r="G20" s="11" t="s">
        <v>25</v>
      </c>
      <c r="H20" s="10" t="s">
        <v>49</v>
      </c>
      <c r="I20" s="10" t="s">
        <v>17</v>
      </c>
      <c r="J20" s="10" t="s">
        <v>18</v>
      </c>
    </row>
    <row r="21" spans="3:10" ht="12.75">
      <c r="C21" s="7" t="s">
        <v>9</v>
      </c>
      <c r="D21" s="17"/>
      <c r="E21" s="17"/>
      <c r="F21" s="17"/>
      <c r="G21" s="12" t="str">
        <f>Hoja3!C9</f>
        <v>-</v>
      </c>
      <c r="H21" s="9" t="str">
        <f>Hoja3!E9</f>
        <v>-</v>
      </c>
      <c r="I21" s="15" t="str">
        <f>Hoja3!H9</f>
        <v>-</v>
      </c>
      <c r="J21" s="15" t="str">
        <f>Hoja3!K9</f>
        <v>-</v>
      </c>
    </row>
    <row r="22" spans="3:10" ht="12.75">
      <c r="C22" s="7" t="s">
        <v>10</v>
      </c>
      <c r="D22" s="17"/>
      <c r="E22" s="17"/>
      <c r="F22" s="17"/>
      <c r="G22" s="12" t="str">
        <f>Hoja3!C10</f>
        <v>-</v>
      </c>
      <c r="H22" s="9" t="str">
        <f>Hoja3!E10</f>
        <v>-</v>
      </c>
      <c r="I22" s="15" t="str">
        <f>Hoja3!H10</f>
        <v>-</v>
      </c>
      <c r="J22" s="15" t="str">
        <f>Hoja3!K10</f>
        <v>-</v>
      </c>
    </row>
    <row r="23" spans="3:10" ht="12.75">
      <c r="C23" s="7" t="s">
        <v>11</v>
      </c>
      <c r="D23" s="17"/>
      <c r="E23" s="17"/>
      <c r="F23" s="17"/>
      <c r="G23" s="12" t="str">
        <f>Hoja3!C11</f>
        <v>-</v>
      </c>
      <c r="H23" s="9" t="str">
        <f>Hoja3!E11</f>
        <v>-</v>
      </c>
      <c r="I23" s="15" t="str">
        <f>Hoja3!H11</f>
        <v>-</v>
      </c>
      <c r="J23" s="15" t="str">
        <f>Hoja3!K11</f>
        <v>-</v>
      </c>
    </row>
    <row r="24" spans="3:10" ht="12.75">
      <c r="C24" s="7" t="str">
        <f>IF(C17=3,"-","P4")</f>
        <v>-</v>
      </c>
      <c r="D24" s="17"/>
      <c r="E24" s="17"/>
      <c r="F24" s="17"/>
      <c r="G24" s="12" t="str">
        <f>Hoja3!C12</f>
        <v>-</v>
      </c>
      <c r="H24" s="9" t="str">
        <f>Hoja3!E12</f>
        <v>-</v>
      </c>
      <c r="I24" s="15" t="str">
        <f>Hoja3!H12</f>
        <v>-</v>
      </c>
      <c r="J24" s="15" t="str">
        <f>Hoja3!K12</f>
        <v>-</v>
      </c>
    </row>
    <row r="25" spans="3:10" ht="12.75">
      <c r="C25" s="7" t="str">
        <f>IF(C17=3,"-","P5")</f>
        <v>-</v>
      </c>
      <c r="D25" s="17"/>
      <c r="E25" s="17"/>
      <c r="F25" s="17"/>
      <c r="G25" s="12" t="str">
        <f>Hoja3!C13</f>
        <v>-</v>
      </c>
      <c r="H25" s="9" t="str">
        <f>Hoja3!E13</f>
        <v>-</v>
      </c>
      <c r="I25" s="15" t="str">
        <f>Hoja3!H13</f>
        <v>-</v>
      </c>
      <c r="J25" s="15" t="str">
        <f>Hoja3!K13</f>
        <v>-</v>
      </c>
    </row>
    <row r="26" spans="3:10" ht="12.75">
      <c r="C26" s="7" t="str">
        <f>IF(C17=3,"-","P6")</f>
        <v>-</v>
      </c>
      <c r="D26" s="17"/>
      <c r="E26" s="17"/>
      <c r="F26" s="17"/>
      <c r="G26" s="12" t="str">
        <f>Hoja3!C14</f>
        <v>-</v>
      </c>
      <c r="H26" s="9" t="str">
        <f>Hoja3!E14</f>
        <v>-</v>
      </c>
      <c r="I26" s="15" t="str">
        <f>Hoja3!H14</f>
        <v>-</v>
      </c>
      <c r="J26" s="15" t="str">
        <f>Hoja3!K14</f>
        <v>-</v>
      </c>
    </row>
    <row r="27" spans="3:10" ht="12.75">
      <c r="C27" s="8"/>
      <c r="G27" s="72" t="s">
        <v>31</v>
      </c>
      <c r="H27" s="72"/>
      <c r="I27" s="16">
        <f>SUM(I21:I26)</f>
        <v>0</v>
      </c>
      <c r="J27" s="16">
        <f>SUM(J21:J26)</f>
        <v>0</v>
      </c>
    </row>
    <row r="28" ht="12.75">
      <c r="C28" s="8"/>
    </row>
    <row r="29" ht="12.75">
      <c r="C29" s="19" t="s">
        <v>55</v>
      </c>
    </row>
    <row r="30" ht="12.75">
      <c r="C30" s="8"/>
    </row>
    <row r="32" spans="4:10" ht="38.25" customHeight="1">
      <c r="D32" s="94" t="s">
        <v>191</v>
      </c>
      <c r="E32" s="94"/>
      <c r="F32" s="94" t="s">
        <v>192</v>
      </c>
      <c r="G32" s="94"/>
      <c r="H32" s="10" t="s">
        <v>15</v>
      </c>
      <c r="I32" s="10" t="s">
        <v>33</v>
      </c>
      <c r="J32" s="10" t="s">
        <v>53</v>
      </c>
    </row>
    <row r="33" spans="4:10" ht="12.75">
      <c r="D33" s="95" t="str">
        <f>Hoja3!H24</f>
        <v>0</v>
      </c>
      <c r="E33" s="95"/>
      <c r="F33" s="96" t="str">
        <f>Hoja3!C24</f>
        <v>-</v>
      </c>
      <c r="G33" s="96"/>
      <c r="H33" s="9">
        <f>Hoja3!F23</f>
        <v>0</v>
      </c>
      <c r="I33" s="17">
        <v>1</v>
      </c>
      <c r="J33" s="12" t="str">
        <f>Hoja3!G24</f>
        <v>0</v>
      </c>
    </row>
    <row r="35" ht="12.75">
      <c r="C35" s="20" t="s">
        <v>54</v>
      </c>
    </row>
    <row r="37" ht="12.75">
      <c r="B37" s="5" t="s">
        <v>44</v>
      </c>
    </row>
    <row r="40" spans="3:10" ht="12.75">
      <c r="C40" s="65" t="s">
        <v>35</v>
      </c>
      <c r="D40" s="65"/>
      <c r="E40" s="65"/>
      <c r="F40" s="101" t="str">
        <f>Hoja3!R5</f>
        <v>STD3-7,5-440 </v>
      </c>
      <c r="G40" s="101"/>
      <c r="H40" s="101"/>
      <c r="I40" s="101"/>
      <c r="J40" s="101"/>
    </row>
    <row r="41" spans="3:10" ht="12.75">
      <c r="C41" s="65" t="s">
        <v>36</v>
      </c>
      <c r="D41" s="65"/>
      <c r="E41" s="65"/>
      <c r="F41" s="101" t="str">
        <f>Hoja3!R6</f>
        <v>2,5+5</v>
      </c>
      <c r="G41" s="101"/>
      <c r="H41" s="101"/>
      <c r="I41" s="101"/>
      <c r="J41" s="101"/>
    </row>
    <row r="42" spans="3:10" ht="12.75">
      <c r="C42" s="65" t="s">
        <v>37</v>
      </c>
      <c r="D42" s="65"/>
      <c r="E42" s="65"/>
      <c r="F42" s="102">
        <f>Hoja3!R7</f>
        <v>440</v>
      </c>
      <c r="G42" s="102"/>
      <c r="H42" s="102"/>
      <c r="I42" s="102"/>
      <c r="J42" s="102"/>
    </row>
    <row r="43" spans="3:10" ht="12.75">
      <c r="C43" s="65" t="s">
        <v>38</v>
      </c>
      <c r="D43" s="65"/>
      <c r="E43" s="65"/>
      <c r="F43" s="103">
        <f>Hoja3!R8</f>
        <v>7.5</v>
      </c>
      <c r="G43" s="103"/>
      <c r="H43" s="103"/>
      <c r="I43" s="103"/>
      <c r="J43" s="103"/>
    </row>
    <row r="44" spans="3:10" ht="12.75">
      <c r="C44" s="77" t="s">
        <v>41</v>
      </c>
      <c r="D44" s="78"/>
      <c r="E44" s="79"/>
      <c r="F44" s="104">
        <f>Hoja3!R4</f>
        <v>6.2</v>
      </c>
      <c r="G44" s="105"/>
      <c r="H44" s="105"/>
      <c r="I44" s="105"/>
      <c r="J44" s="106"/>
    </row>
    <row r="45" spans="3:10" ht="12.75">
      <c r="C45" s="65" t="s">
        <v>39</v>
      </c>
      <c r="D45" s="65"/>
      <c r="E45" s="65"/>
      <c r="F45" s="101" t="str">
        <f>Hoja3!R9</f>
        <v>1.2.2.</v>
      </c>
      <c r="G45" s="101"/>
      <c r="H45" s="101"/>
      <c r="I45" s="101"/>
      <c r="J45" s="101"/>
    </row>
    <row r="46" spans="3:10" ht="12.75">
      <c r="C46" s="65" t="s">
        <v>40</v>
      </c>
      <c r="D46" s="65"/>
      <c r="E46" s="65"/>
      <c r="F46" s="108">
        <f>Hoja3!R10</f>
        <v>50</v>
      </c>
      <c r="G46" s="108"/>
      <c r="H46" s="108"/>
      <c r="I46" s="108"/>
      <c r="J46" s="108"/>
    </row>
    <row r="47" spans="3:10" ht="12.75">
      <c r="C47" s="50" t="s">
        <v>61</v>
      </c>
      <c r="D47" s="51"/>
      <c r="E47" s="52"/>
      <c r="F47" s="53">
        <v>500</v>
      </c>
      <c r="G47" s="54"/>
      <c r="H47" s="54"/>
      <c r="I47" s="54"/>
      <c r="J47" s="55"/>
    </row>
    <row r="48" spans="3:10" ht="12.75">
      <c r="C48" s="50" t="s">
        <v>64</v>
      </c>
      <c r="D48" s="51"/>
      <c r="E48" s="52"/>
      <c r="F48" s="53"/>
      <c r="G48" s="54"/>
      <c r="H48" s="54"/>
      <c r="I48" s="54"/>
      <c r="J48" s="55"/>
    </row>
    <row r="49" spans="3:10" ht="12.75">
      <c r="C49" s="50" t="s">
        <v>63</v>
      </c>
      <c r="D49" s="51"/>
      <c r="E49" s="52"/>
      <c r="F49" s="53"/>
      <c r="G49" s="54"/>
      <c r="H49" s="54"/>
      <c r="I49" s="54"/>
      <c r="J49" s="55"/>
    </row>
    <row r="50" spans="3:10" ht="12.75">
      <c r="C50" s="50" t="s">
        <v>65</v>
      </c>
      <c r="D50" s="51"/>
      <c r="E50" s="52"/>
      <c r="F50" s="53"/>
      <c r="G50" s="54"/>
      <c r="H50" s="54"/>
      <c r="I50" s="54"/>
      <c r="J50" s="55"/>
    </row>
    <row r="51" spans="3:10" ht="12.75">
      <c r="C51" s="50" t="s">
        <v>62</v>
      </c>
      <c r="D51" s="51"/>
      <c r="E51" s="52"/>
      <c r="F51" s="53"/>
      <c r="G51" s="54"/>
      <c r="H51" s="54"/>
      <c r="I51" s="54"/>
      <c r="J51" s="55"/>
    </row>
    <row r="52" spans="3:10" ht="12.75">
      <c r="C52" s="65" t="s">
        <v>59</v>
      </c>
      <c r="D52" s="65"/>
      <c r="E52" s="65"/>
      <c r="F52" s="76" t="str">
        <f>Hoja3!D27</f>
        <v>-</v>
      </c>
      <c r="G52" s="76"/>
      <c r="H52" s="76"/>
      <c r="I52" s="76"/>
      <c r="J52" s="76"/>
    </row>
    <row r="54" spans="2:3" ht="12.75">
      <c r="B54" s="5"/>
      <c r="C54" s="20" t="s">
        <v>60</v>
      </c>
    </row>
    <row r="56" ht="12.75">
      <c r="B56" s="5" t="s">
        <v>58</v>
      </c>
    </row>
    <row r="58" spans="3:10" ht="12.75">
      <c r="C58" s="41"/>
      <c r="D58" s="42"/>
      <c r="E58" s="42"/>
      <c r="F58" s="42"/>
      <c r="G58" s="42"/>
      <c r="H58" s="42"/>
      <c r="I58" s="42"/>
      <c r="J58" s="43"/>
    </row>
    <row r="59" spans="3:10" ht="12.75">
      <c r="C59" s="44"/>
      <c r="D59" s="45"/>
      <c r="E59" s="45"/>
      <c r="F59" s="45"/>
      <c r="G59" s="45"/>
      <c r="H59" s="45"/>
      <c r="I59" s="45"/>
      <c r="J59" s="46"/>
    </row>
    <row r="60" spans="3:10" ht="12.75">
      <c r="C60" s="44"/>
      <c r="D60" s="45"/>
      <c r="E60" s="45"/>
      <c r="F60" s="45"/>
      <c r="G60" s="45"/>
      <c r="H60" s="45"/>
      <c r="I60" s="45"/>
      <c r="J60" s="46"/>
    </row>
    <row r="61" spans="3:10" ht="12.75">
      <c r="C61" s="44"/>
      <c r="D61" s="45"/>
      <c r="E61" s="45"/>
      <c r="F61" s="45"/>
      <c r="G61" s="45"/>
      <c r="H61" s="45"/>
      <c r="I61" s="45"/>
      <c r="J61" s="46"/>
    </row>
    <row r="62" spans="3:10" ht="12.75">
      <c r="C62" s="44"/>
      <c r="D62" s="45"/>
      <c r="E62" s="45"/>
      <c r="F62" s="45"/>
      <c r="G62" s="45"/>
      <c r="H62" s="45"/>
      <c r="I62" s="45"/>
      <c r="J62" s="46"/>
    </row>
    <row r="63" spans="3:10" ht="12.75">
      <c r="C63" s="44"/>
      <c r="D63" s="45"/>
      <c r="E63" s="45"/>
      <c r="F63" s="45"/>
      <c r="G63" s="45"/>
      <c r="H63" s="45"/>
      <c r="I63" s="45"/>
      <c r="J63" s="46"/>
    </row>
    <row r="64" spans="3:10" ht="12.75">
      <c r="C64" s="44"/>
      <c r="D64" s="45"/>
      <c r="E64" s="45"/>
      <c r="F64" s="45"/>
      <c r="G64" s="45"/>
      <c r="H64" s="45"/>
      <c r="I64" s="45"/>
      <c r="J64" s="46"/>
    </row>
    <row r="65" spans="3:10" ht="12.75">
      <c r="C65" s="44"/>
      <c r="D65" s="45"/>
      <c r="E65" s="45"/>
      <c r="F65" s="45"/>
      <c r="G65" s="45"/>
      <c r="H65" s="45"/>
      <c r="I65" s="45"/>
      <c r="J65" s="46"/>
    </row>
    <row r="66" spans="3:10" ht="12.75">
      <c r="C66" s="44"/>
      <c r="D66" s="45"/>
      <c r="E66" s="45"/>
      <c r="F66" s="45"/>
      <c r="G66" s="45"/>
      <c r="H66" s="45"/>
      <c r="I66" s="45"/>
      <c r="J66" s="46"/>
    </row>
    <row r="67" spans="3:10" ht="12.75">
      <c r="C67" s="44"/>
      <c r="D67" s="45"/>
      <c r="E67" s="45"/>
      <c r="F67" s="45"/>
      <c r="G67" s="45"/>
      <c r="H67" s="45"/>
      <c r="I67" s="45"/>
      <c r="J67" s="46"/>
    </row>
    <row r="68" spans="3:10" ht="12.75">
      <c r="C68" s="44"/>
      <c r="D68" s="45"/>
      <c r="E68" s="45"/>
      <c r="F68" s="45"/>
      <c r="G68" s="45"/>
      <c r="H68" s="45"/>
      <c r="I68" s="45"/>
      <c r="J68" s="46"/>
    </row>
    <row r="69" spans="3:10" ht="12.75">
      <c r="C69" s="47"/>
      <c r="D69" s="48"/>
      <c r="E69" s="48"/>
      <c r="F69" s="48"/>
      <c r="G69" s="48"/>
      <c r="H69" s="48"/>
      <c r="I69" s="48"/>
      <c r="J69" s="49"/>
    </row>
    <row r="71" spans="3:10" ht="90.75" customHeight="1">
      <c r="C71" s="97" t="s">
        <v>193</v>
      </c>
      <c r="D71" s="98"/>
      <c r="E71" s="98"/>
      <c r="F71" s="98"/>
      <c r="G71" s="98"/>
      <c r="H71" s="98"/>
      <c r="I71" s="98"/>
      <c r="J71" s="99"/>
    </row>
  </sheetData>
  <sheetProtection password="92CB" sheet="1" objects="1" scenarios="1" selectLockedCells="1"/>
  <mergeCells count="51">
    <mergeCell ref="D33:E33"/>
    <mergeCell ref="F32:G32"/>
    <mergeCell ref="F33:G33"/>
    <mergeCell ref="C71:J71"/>
    <mergeCell ref="C47:E47"/>
    <mergeCell ref="F47:J47"/>
    <mergeCell ref="C52:E52"/>
    <mergeCell ref="F45:J45"/>
    <mergeCell ref="F46:J46"/>
    <mergeCell ref="F51:J51"/>
    <mergeCell ref="F41:J41"/>
    <mergeCell ref="F42:J42"/>
    <mergeCell ref="F43:J43"/>
    <mergeCell ref="F52:J52"/>
    <mergeCell ref="F44:J44"/>
    <mergeCell ref="C41:E41"/>
    <mergeCell ref="C42:E42"/>
    <mergeCell ref="C43:E43"/>
    <mergeCell ref="C46:E46"/>
    <mergeCell ref="C45:E45"/>
    <mergeCell ref="C44:E44"/>
    <mergeCell ref="A5:L5"/>
    <mergeCell ref="G27:H27"/>
    <mergeCell ref="A11:B11"/>
    <mergeCell ref="C11:G11"/>
    <mergeCell ref="H11:I11"/>
    <mergeCell ref="J11:L11"/>
    <mergeCell ref="C9:G9"/>
    <mergeCell ref="H9:I9"/>
    <mergeCell ref="A8:B8"/>
    <mergeCell ref="C8:G8"/>
    <mergeCell ref="C40:E40"/>
    <mergeCell ref="J9:L9"/>
    <mergeCell ref="A10:B10"/>
    <mergeCell ref="C10:G10"/>
    <mergeCell ref="H10:I10"/>
    <mergeCell ref="J10:L10"/>
    <mergeCell ref="F40:J40"/>
    <mergeCell ref="D32:E32"/>
    <mergeCell ref="H8:I8"/>
    <mergeCell ref="J8:L8"/>
    <mergeCell ref="C15:F15"/>
    <mergeCell ref="G15:H15"/>
    <mergeCell ref="C58:J69"/>
    <mergeCell ref="C48:E48"/>
    <mergeCell ref="C49:E49"/>
    <mergeCell ref="C50:E50"/>
    <mergeCell ref="C51:E51"/>
    <mergeCell ref="F48:J48"/>
    <mergeCell ref="F49:J49"/>
    <mergeCell ref="F50:J50"/>
  </mergeCells>
  <conditionalFormatting sqref="C24:F26">
    <cfRule type="expression" priority="1" dxfId="0" stopIfTrue="1">
      <formula>IF($C$17=3,"-","")</formula>
    </cfRule>
  </conditionalFormatting>
  <dataValidations count="1">
    <dataValidation type="list" showInputMessage="1" showErrorMessage="1" sqref="C17">
      <formula1>periodos</formula1>
    </dataValidation>
  </dataValidations>
  <printOptions/>
  <pageMargins left="0.75" right="0.75" top="1" bottom="1" header="0" footer="0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5:L70"/>
  <sheetViews>
    <sheetView showGridLines="0" tabSelected="1" zoomScaleSheetLayoutView="100" workbookViewId="0" topLeftCell="A4">
      <selection activeCell="C56" sqref="C56:J67"/>
    </sheetView>
  </sheetViews>
  <sheetFormatPr defaultColWidth="11.421875" defaultRowHeight="12.75"/>
  <cols>
    <col min="1" max="1" width="9.140625" style="0" customWidth="1"/>
    <col min="2" max="2" width="11.57421875" style="0" customWidth="1"/>
    <col min="3" max="6" width="9.140625" style="0" customWidth="1"/>
    <col min="7" max="7" width="8.140625" style="0" customWidth="1"/>
    <col min="8" max="8" width="9.57421875" style="0" customWidth="1"/>
    <col min="9" max="9" width="12.8515625" style="0" bestFit="1" customWidth="1"/>
    <col min="10" max="10" width="13.57421875" style="0" customWidth="1"/>
    <col min="11" max="16384" width="9.140625" style="0" customWidth="1"/>
  </cols>
  <sheetData>
    <row r="5" spans="1:12" ht="20.25">
      <c r="A5" s="71" t="s">
        <v>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8" spans="1:12" ht="12.75" customHeight="1">
      <c r="A8" s="74" t="s">
        <v>0</v>
      </c>
      <c r="B8" s="75"/>
      <c r="C8" s="40"/>
      <c r="D8" s="58"/>
      <c r="E8" s="58"/>
      <c r="F8" s="58"/>
      <c r="G8" s="59"/>
      <c r="H8" s="56" t="s">
        <v>1</v>
      </c>
      <c r="I8" s="57"/>
      <c r="J8" s="40"/>
      <c r="K8" s="58"/>
      <c r="L8" s="59"/>
    </row>
    <row r="9" spans="1:12" ht="12.75" customHeight="1">
      <c r="A9" s="1" t="s">
        <v>2</v>
      </c>
      <c r="B9" s="2"/>
      <c r="C9" s="40"/>
      <c r="D9" s="58"/>
      <c r="E9" s="58"/>
      <c r="F9" s="58"/>
      <c r="G9" s="59"/>
      <c r="H9" s="56" t="s">
        <v>3</v>
      </c>
      <c r="I9" s="57"/>
      <c r="J9" s="66"/>
      <c r="K9" s="67"/>
      <c r="L9" s="68"/>
    </row>
    <row r="10" spans="1:12" ht="12.75" customHeight="1">
      <c r="A10" s="69" t="s">
        <v>4</v>
      </c>
      <c r="B10" s="69"/>
      <c r="C10" s="40"/>
      <c r="D10" s="58"/>
      <c r="E10" s="58"/>
      <c r="F10" s="58"/>
      <c r="G10" s="59"/>
      <c r="H10" s="56" t="s">
        <v>5</v>
      </c>
      <c r="I10" s="57"/>
      <c r="J10" s="70"/>
      <c r="K10" s="70"/>
      <c r="L10" s="70"/>
    </row>
    <row r="11" spans="1:12" ht="12.75" customHeight="1">
      <c r="A11" s="69" t="s">
        <v>6</v>
      </c>
      <c r="B11" s="69"/>
      <c r="C11" s="40"/>
      <c r="D11" s="58"/>
      <c r="E11" s="58"/>
      <c r="F11" s="58"/>
      <c r="G11" s="59"/>
      <c r="H11" s="56" t="s">
        <v>7</v>
      </c>
      <c r="I11" s="57"/>
      <c r="J11" s="73"/>
      <c r="K11" s="70"/>
      <c r="L11" s="70"/>
    </row>
    <row r="12" spans="1:12" ht="12.75" customHeight="1">
      <c r="A12" s="21"/>
      <c r="B12" s="21"/>
      <c r="C12" s="22"/>
      <c r="D12" s="22"/>
      <c r="E12" s="22"/>
      <c r="F12" s="22"/>
      <c r="G12" s="22"/>
      <c r="H12" s="23"/>
      <c r="I12" s="23"/>
      <c r="J12" s="24"/>
      <c r="K12" s="25"/>
      <c r="L12" s="25"/>
    </row>
    <row r="13" spans="1:12" ht="12.75" customHeight="1">
      <c r="A13" t="s">
        <v>57</v>
      </c>
      <c r="B13" s="21"/>
      <c r="C13" s="22"/>
      <c r="D13" s="22"/>
      <c r="E13" s="22"/>
      <c r="F13" s="22"/>
      <c r="G13" s="22"/>
      <c r="H13" s="23"/>
      <c r="I13" s="23"/>
      <c r="J13" s="24"/>
      <c r="K13" s="25"/>
      <c r="L13" s="25"/>
    </row>
    <row r="15" spans="2:9" ht="12.75">
      <c r="B15" s="5" t="s">
        <v>50</v>
      </c>
      <c r="C15" s="60"/>
      <c r="D15" s="61"/>
      <c r="E15" s="61"/>
      <c r="F15" s="62"/>
      <c r="G15" s="63" t="s">
        <v>52</v>
      </c>
      <c r="H15" s="64"/>
      <c r="I15" s="39"/>
    </row>
    <row r="17" spans="2:3" ht="25.5">
      <c r="B17" s="18" t="s">
        <v>51</v>
      </c>
      <c r="C17" s="26">
        <v>3</v>
      </c>
    </row>
    <row r="20" spans="4:10" ht="30.75" customHeight="1">
      <c r="D20" s="10" t="s">
        <v>21</v>
      </c>
      <c r="E20" s="10" t="s">
        <v>45</v>
      </c>
      <c r="F20" s="11" t="s">
        <v>15</v>
      </c>
      <c r="G20" s="11" t="s">
        <v>25</v>
      </c>
      <c r="H20" s="10" t="s">
        <v>48</v>
      </c>
      <c r="I20" s="10" t="s">
        <v>17</v>
      </c>
      <c r="J20" s="10" t="s">
        <v>18</v>
      </c>
    </row>
    <row r="21" spans="3:10" ht="12.75">
      <c r="C21" s="7" t="s">
        <v>9</v>
      </c>
      <c r="D21" s="17"/>
      <c r="E21" s="17"/>
      <c r="F21" s="17"/>
      <c r="G21" s="12" t="str">
        <f>Hoja3!C32</f>
        <v>-</v>
      </c>
      <c r="H21" s="9" t="str">
        <f>Hoja3!E32</f>
        <v>-</v>
      </c>
      <c r="I21" s="15" t="str">
        <f>Hoja3!H32</f>
        <v>-</v>
      </c>
      <c r="J21" s="15" t="str">
        <f>Hoja3!K32</f>
        <v>-</v>
      </c>
    </row>
    <row r="22" spans="3:10" ht="12.75">
      <c r="C22" s="7" t="s">
        <v>10</v>
      </c>
      <c r="D22" s="17"/>
      <c r="E22" s="17"/>
      <c r="F22" s="17"/>
      <c r="G22" s="12" t="str">
        <f>Hoja3!C33</f>
        <v>-</v>
      </c>
      <c r="H22" s="9" t="str">
        <f>Hoja3!E33</f>
        <v>-</v>
      </c>
      <c r="I22" s="15" t="str">
        <f>Hoja3!H33</f>
        <v>-</v>
      </c>
      <c r="J22" s="15" t="str">
        <f>Hoja3!K33</f>
        <v>-</v>
      </c>
    </row>
    <row r="23" spans="3:10" ht="12.75">
      <c r="C23" s="7" t="s">
        <v>11</v>
      </c>
      <c r="D23" s="17"/>
      <c r="E23" s="17"/>
      <c r="F23" s="17"/>
      <c r="G23" s="12" t="str">
        <f>Hoja3!C34</f>
        <v>-</v>
      </c>
      <c r="H23" s="9" t="str">
        <f>Hoja3!E34</f>
        <v>-</v>
      </c>
      <c r="I23" s="15" t="str">
        <f>Hoja3!H34</f>
        <v>-</v>
      </c>
      <c r="J23" s="15" t="str">
        <f>Hoja3!K34</f>
        <v>-</v>
      </c>
    </row>
    <row r="24" spans="3:10" ht="12.75">
      <c r="C24" s="7" t="str">
        <f>IF(C17=3,"-","P4")</f>
        <v>-</v>
      </c>
      <c r="D24" s="17"/>
      <c r="E24" s="17"/>
      <c r="F24" s="17"/>
      <c r="G24" s="12" t="str">
        <f>Hoja3!C35</f>
        <v>-</v>
      </c>
      <c r="H24" s="9" t="str">
        <f>Hoja3!E35</f>
        <v>-</v>
      </c>
      <c r="I24" s="15" t="str">
        <f>Hoja3!H35</f>
        <v>-</v>
      </c>
      <c r="J24" s="15" t="str">
        <f>Hoja3!K35</f>
        <v>-</v>
      </c>
    </row>
    <row r="25" spans="3:10" ht="12.75">
      <c r="C25" s="7" t="str">
        <f>IF(C17=3,"-","P5")</f>
        <v>-</v>
      </c>
      <c r="D25" s="17"/>
      <c r="E25" s="17"/>
      <c r="F25" s="17"/>
      <c r="G25" s="12" t="str">
        <f>Hoja3!C36</f>
        <v>-</v>
      </c>
      <c r="H25" s="9" t="str">
        <f>Hoja3!E36</f>
        <v>-</v>
      </c>
      <c r="I25" s="15" t="str">
        <f>Hoja3!H36</f>
        <v>-</v>
      </c>
      <c r="J25" s="15" t="str">
        <f>Hoja3!K36</f>
        <v>-</v>
      </c>
    </row>
    <row r="26" spans="3:10" ht="12.75">
      <c r="C26" s="7" t="str">
        <f>IF(C17=3,"-","P6")</f>
        <v>-</v>
      </c>
      <c r="D26" s="17"/>
      <c r="E26" s="17"/>
      <c r="F26" s="17"/>
      <c r="G26" s="12" t="str">
        <f>Hoja3!C37</f>
        <v>-</v>
      </c>
      <c r="H26" s="9" t="str">
        <f>Hoja3!E37</f>
        <v>-</v>
      </c>
      <c r="I26" s="15" t="str">
        <f>Hoja3!H37</f>
        <v>-</v>
      </c>
      <c r="J26" s="15" t="str">
        <f>Hoja3!K37</f>
        <v>-</v>
      </c>
    </row>
    <row r="27" spans="3:10" ht="12.75">
      <c r="C27" s="8"/>
      <c r="G27" s="72" t="s">
        <v>31</v>
      </c>
      <c r="H27" s="72"/>
      <c r="I27" s="16">
        <f>SUM(I21:I26)</f>
        <v>0</v>
      </c>
      <c r="J27" s="16">
        <f>SUM(J21:J26)</f>
        <v>0</v>
      </c>
    </row>
    <row r="28" ht="12.75">
      <c r="C28" s="8"/>
    </row>
    <row r="29" ht="12.75">
      <c r="C29" s="19" t="s">
        <v>30</v>
      </c>
    </row>
    <row r="30" ht="12.75">
      <c r="C30" s="8"/>
    </row>
    <row r="32" spans="4:10" ht="28.5">
      <c r="D32" s="94" t="s">
        <v>191</v>
      </c>
      <c r="E32" s="94"/>
      <c r="F32" s="94" t="s">
        <v>192</v>
      </c>
      <c r="G32" s="94"/>
      <c r="H32" s="10" t="s">
        <v>15</v>
      </c>
      <c r="I32" s="10" t="s">
        <v>33</v>
      </c>
      <c r="J32" s="10" t="s">
        <v>53</v>
      </c>
    </row>
    <row r="33" spans="4:10" ht="12.75">
      <c r="D33" s="95" t="str">
        <f>Hoja3!H47</f>
        <v>0</v>
      </c>
      <c r="E33" s="95"/>
      <c r="F33" s="96" t="str">
        <f>Hoja3!C47</f>
        <v>-</v>
      </c>
      <c r="G33" s="96"/>
      <c r="H33" s="9">
        <f>Hoja3!F46</f>
        <v>0</v>
      </c>
      <c r="I33" s="17">
        <v>1</v>
      </c>
      <c r="J33" s="12" t="str">
        <f>Hoja3!G47</f>
        <v>0</v>
      </c>
    </row>
    <row r="35" ht="12.75">
      <c r="C35" s="20" t="s">
        <v>54</v>
      </c>
    </row>
    <row r="37" ht="12.75">
      <c r="B37" s="5" t="s">
        <v>44</v>
      </c>
    </row>
    <row r="40" spans="3:10" ht="12.75">
      <c r="C40" s="65" t="s">
        <v>35</v>
      </c>
      <c r="D40" s="65"/>
      <c r="E40" s="65"/>
      <c r="F40" s="101" t="str">
        <f>Hoja3!R21</f>
        <v>STD3-7,5-440 </v>
      </c>
      <c r="G40" s="101"/>
      <c r="H40" s="101"/>
      <c r="I40" s="101"/>
      <c r="J40" s="101"/>
    </row>
    <row r="41" spans="3:10" ht="12.75">
      <c r="C41" s="65" t="s">
        <v>36</v>
      </c>
      <c r="D41" s="65"/>
      <c r="E41" s="65"/>
      <c r="F41" s="101" t="str">
        <f>Hoja3!R22</f>
        <v>2,5+5</v>
      </c>
      <c r="G41" s="101"/>
      <c r="H41" s="101"/>
      <c r="I41" s="101"/>
      <c r="J41" s="101"/>
    </row>
    <row r="42" spans="3:10" ht="12.75">
      <c r="C42" s="65" t="s">
        <v>37</v>
      </c>
      <c r="D42" s="65"/>
      <c r="E42" s="65"/>
      <c r="F42" s="102">
        <f>Hoja3!R23</f>
        <v>440</v>
      </c>
      <c r="G42" s="102"/>
      <c r="H42" s="102"/>
      <c r="I42" s="102"/>
      <c r="J42" s="102"/>
    </row>
    <row r="43" spans="3:10" ht="12.75">
      <c r="C43" s="65" t="s">
        <v>38</v>
      </c>
      <c r="D43" s="65"/>
      <c r="E43" s="65"/>
      <c r="F43" s="103">
        <f>Hoja3!R24</f>
        <v>7.5</v>
      </c>
      <c r="G43" s="103"/>
      <c r="H43" s="103"/>
      <c r="I43" s="103"/>
      <c r="J43" s="103"/>
    </row>
    <row r="44" spans="3:10" ht="12.75">
      <c r="C44" s="77" t="s">
        <v>41</v>
      </c>
      <c r="D44" s="78"/>
      <c r="E44" s="79"/>
      <c r="F44" s="104">
        <f>Hoja3!R20</f>
        <v>6.2</v>
      </c>
      <c r="G44" s="105"/>
      <c r="H44" s="105"/>
      <c r="I44" s="105"/>
      <c r="J44" s="106"/>
    </row>
    <row r="45" spans="3:10" ht="12.75">
      <c r="C45" s="65" t="s">
        <v>39</v>
      </c>
      <c r="D45" s="65"/>
      <c r="E45" s="65"/>
      <c r="F45" s="101" t="str">
        <f>Hoja3!R25</f>
        <v>1.2.2.</v>
      </c>
      <c r="G45" s="101"/>
      <c r="H45" s="101"/>
      <c r="I45" s="101"/>
      <c r="J45" s="101"/>
    </row>
    <row r="46" spans="3:10" ht="12.75">
      <c r="C46" s="65" t="s">
        <v>40</v>
      </c>
      <c r="D46" s="65"/>
      <c r="E46" s="65"/>
      <c r="F46" s="107">
        <f>Hoja3!R26</f>
        <v>50</v>
      </c>
      <c r="G46" s="107"/>
      <c r="H46" s="107"/>
      <c r="I46" s="107"/>
      <c r="J46" s="107"/>
    </row>
    <row r="47" spans="3:10" ht="12.75">
      <c r="C47" s="50" t="s">
        <v>61</v>
      </c>
      <c r="D47" s="51"/>
      <c r="E47" s="52"/>
      <c r="F47" s="53">
        <v>0</v>
      </c>
      <c r="G47" s="54"/>
      <c r="H47" s="54"/>
      <c r="I47" s="54"/>
      <c r="J47" s="55"/>
    </row>
    <row r="48" spans="3:10" ht="12.75">
      <c r="C48" s="50" t="s">
        <v>64</v>
      </c>
      <c r="D48" s="51"/>
      <c r="E48" s="52"/>
      <c r="F48" s="53"/>
      <c r="G48" s="54"/>
      <c r="H48" s="54"/>
      <c r="I48" s="54"/>
      <c r="J48" s="55"/>
    </row>
    <row r="49" spans="3:10" ht="12.75">
      <c r="C49" s="50" t="s">
        <v>63</v>
      </c>
      <c r="D49" s="51"/>
      <c r="E49" s="52"/>
      <c r="F49" s="53"/>
      <c r="G49" s="54"/>
      <c r="H49" s="54"/>
      <c r="I49" s="54"/>
      <c r="J49" s="55"/>
    </row>
    <row r="50" spans="3:10" ht="12.75">
      <c r="C50" s="50" t="s">
        <v>65</v>
      </c>
      <c r="D50" s="51"/>
      <c r="E50" s="52"/>
      <c r="F50" s="53"/>
      <c r="G50" s="54"/>
      <c r="H50" s="54"/>
      <c r="I50" s="54"/>
      <c r="J50" s="55"/>
    </row>
    <row r="51" spans="3:10" ht="12.75">
      <c r="C51" s="50" t="s">
        <v>62</v>
      </c>
      <c r="D51" s="51"/>
      <c r="E51" s="52"/>
      <c r="F51" s="53"/>
      <c r="G51" s="54"/>
      <c r="H51" s="54"/>
      <c r="I51" s="54"/>
      <c r="J51" s="55"/>
    </row>
    <row r="52" spans="3:10" ht="12.75">
      <c r="C52" s="65" t="s">
        <v>59</v>
      </c>
      <c r="D52" s="65"/>
      <c r="E52" s="65"/>
      <c r="F52" s="80" t="str">
        <f>Hoja3!D50</f>
        <v>-</v>
      </c>
      <c r="G52" s="80"/>
      <c r="H52" s="80"/>
      <c r="I52" s="80"/>
      <c r="J52" s="80"/>
    </row>
    <row r="54" ht="12.75">
      <c r="B54" s="5" t="s">
        <v>58</v>
      </c>
    </row>
    <row r="56" spans="3:10" ht="12.75">
      <c r="C56" s="41"/>
      <c r="D56" s="42"/>
      <c r="E56" s="42"/>
      <c r="F56" s="42"/>
      <c r="G56" s="42"/>
      <c r="H56" s="42"/>
      <c r="I56" s="42"/>
      <c r="J56" s="43"/>
    </row>
    <row r="57" spans="3:10" ht="12.75">
      <c r="C57" s="44"/>
      <c r="D57" s="45"/>
      <c r="E57" s="45"/>
      <c r="F57" s="45"/>
      <c r="G57" s="45"/>
      <c r="H57" s="45"/>
      <c r="I57" s="45"/>
      <c r="J57" s="46"/>
    </row>
    <row r="58" spans="3:10" ht="12.75">
      <c r="C58" s="44"/>
      <c r="D58" s="45"/>
      <c r="E58" s="45"/>
      <c r="F58" s="45"/>
      <c r="G58" s="45"/>
      <c r="H58" s="45"/>
      <c r="I58" s="45"/>
      <c r="J58" s="46"/>
    </row>
    <row r="59" spans="3:10" ht="12.75">
      <c r="C59" s="44"/>
      <c r="D59" s="45"/>
      <c r="E59" s="45"/>
      <c r="F59" s="45"/>
      <c r="G59" s="45"/>
      <c r="H59" s="45"/>
      <c r="I59" s="45"/>
      <c r="J59" s="46"/>
    </row>
    <row r="60" spans="3:10" ht="12.75">
      <c r="C60" s="44"/>
      <c r="D60" s="45"/>
      <c r="E60" s="45"/>
      <c r="F60" s="45"/>
      <c r="G60" s="45"/>
      <c r="H60" s="45"/>
      <c r="I60" s="45"/>
      <c r="J60" s="46"/>
    </row>
    <row r="61" spans="3:10" ht="12.75">
      <c r="C61" s="44"/>
      <c r="D61" s="45"/>
      <c r="E61" s="45"/>
      <c r="F61" s="45"/>
      <c r="G61" s="45"/>
      <c r="H61" s="45"/>
      <c r="I61" s="45"/>
      <c r="J61" s="46"/>
    </row>
    <row r="62" spans="3:10" ht="12.75">
      <c r="C62" s="44"/>
      <c r="D62" s="45"/>
      <c r="E62" s="45"/>
      <c r="F62" s="45"/>
      <c r="G62" s="45"/>
      <c r="H62" s="45"/>
      <c r="I62" s="45"/>
      <c r="J62" s="46"/>
    </row>
    <row r="63" spans="3:10" ht="12.75">
      <c r="C63" s="44"/>
      <c r="D63" s="45"/>
      <c r="E63" s="45"/>
      <c r="F63" s="45"/>
      <c r="G63" s="45"/>
      <c r="H63" s="45"/>
      <c r="I63" s="45"/>
      <c r="J63" s="46"/>
    </row>
    <row r="64" spans="3:10" ht="12.75">
      <c r="C64" s="44"/>
      <c r="D64" s="45"/>
      <c r="E64" s="45"/>
      <c r="F64" s="45"/>
      <c r="G64" s="45"/>
      <c r="H64" s="45"/>
      <c r="I64" s="45"/>
      <c r="J64" s="46"/>
    </row>
    <row r="65" spans="3:10" ht="12.75">
      <c r="C65" s="44"/>
      <c r="D65" s="45"/>
      <c r="E65" s="45"/>
      <c r="F65" s="45"/>
      <c r="G65" s="45"/>
      <c r="H65" s="45"/>
      <c r="I65" s="45"/>
      <c r="J65" s="46"/>
    </row>
    <row r="66" spans="3:10" ht="12.75">
      <c r="C66" s="44"/>
      <c r="D66" s="45"/>
      <c r="E66" s="45"/>
      <c r="F66" s="45"/>
      <c r="G66" s="45"/>
      <c r="H66" s="45"/>
      <c r="I66" s="45"/>
      <c r="J66" s="46"/>
    </row>
    <row r="67" spans="3:10" ht="12.75">
      <c r="C67" s="47"/>
      <c r="D67" s="48"/>
      <c r="E67" s="48"/>
      <c r="F67" s="48"/>
      <c r="G67" s="48"/>
      <c r="H67" s="48"/>
      <c r="I67" s="48"/>
      <c r="J67" s="49"/>
    </row>
    <row r="70" spans="3:10" ht="90.75" customHeight="1">
      <c r="C70" s="97" t="s">
        <v>193</v>
      </c>
      <c r="D70" s="98"/>
      <c r="E70" s="98"/>
      <c r="F70" s="98"/>
      <c r="G70" s="98"/>
      <c r="H70" s="98"/>
      <c r="I70" s="98"/>
      <c r="J70" s="99"/>
    </row>
  </sheetData>
  <sheetProtection password="92CB" sheet="1" objects="1" scenarios="1" selectLockedCells="1"/>
  <mergeCells count="51">
    <mergeCell ref="C70:J70"/>
    <mergeCell ref="C52:E52"/>
    <mergeCell ref="F52:J52"/>
    <mergeCell ref="C48:E48"/>
    <mergeCell ref="C49:E49"/>
    <mergeCell ref="C50:E50"/>
    <mergeCell ref="C51:E51"/>
    <mergeCell ref="F48:J48"/>
    <mergeCell ref="F49:J49"/>
    <mergeCell ref="F50:J50"/>
    <mergeCell ref="F51:J51"/>
    <mergeCell ref="C45:E45"/>
    <mergeCell ref="F45:J45"/>
    <mergeCell ref="C46:E46"/>
    <mergeCell ref="F46:J46"/>
    <mergeCell ref="C47:E47"/>
    <mergeCell ref="F47:J47"/>
    <mergeCell ref="C43:E43"/>
    <mergeCell ref="F43:J43"/>
    <mergeCell ref="C44:E44"/>
    <mergeCell ref="F44:J44"/>
    <mergeCell ref="C41:E41"/>
    <mergeCell ref="F41:J41"/>
    <mergeCell ref="C42:E42"/>
    <mergeCell ref="F42:J42"/>
    <mergeCell ref="G27:H27"/>
    <mergeCell ref="C40:E40"/>
    <mergeCell ref="F40:J40"/>
    <mergeCell ref="C15:F15"/>
    <mergeCell ref="G15:H15"/>
    <mergeCell ref="D32:E32"/>
    <mergeCell ref="F32:G32"/>
    <mergeCell ref="D33:E33"/>
    <mergeCell ref="F33:G33"/>
    <mergeCell ref="C10:G10"/>
    <mergeCell ref="H10:I10"/>
    <mergeCell ref="J10:L10"/>
    <mergeCell ref="A11:B11"/>
    <mergeCell ref="C11:G11"/>
    <mergeCell ref="H11:I11"/>
    <mergeCell ref="J11:L11"/>
    <mergeCell ref="C56:J67"/>
    <mergeCell ref="A5:L5"/>
    <mergeCell ref="A8:B8"/>
    <mergeCell ref="C8:G8"/>
    <mergeCell ref="H8:I8"/>
    <mergeCell ref="J8:L8"/>
    <mergeCell ref="C9:G9"/>
    <mergeCell ref="H9:I9"/>
    <mergeCell ref="J9:L9"/>
    <mergeCell ref="A10:B10"/>
  </mergeCells>
  <conditionalFormatting sqref="C24:F26">
    <cfRule type="expression" priority="1" dxfId="0" stopIfTrue="1">
      <formula>IF($C$17=3,"-","")</formula>
    </cfRule>
  </conditionalFormatting>
  <dataValidations count="1">
    <dataValidation type="list" showInputMessage="1" showErrorMessage="1" sqref="C17">
      <formula1>periodos</formula1>
    </dataValidation>
  </dataValidations>
  <printOptions/>
  <pageMargins left="0.75" right="0.75" top="1" bottom="1" header="0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9"/>
  <sheetViews>
    <sheetView workbookViewId="0" topLeftCell="AC1">
      <selection activeCell="AB1" sqref="A1:AB16384"/>
    </sheetView>
  </sheetViews>
  <sheetFormatPr defaultColWidth="11.421875" defaultRowHeight="12.75"/>
  <cols>
    <col min="1" max="1" width="11.57421875" style="0" hidden="1" customWidth="1"/>
    <col min="2" max="2" width="9.8515625" style="0" hidden="1" customWidth="1"/>
    <col min="3" max="5" width="9.140625" style="0" hidden="1" customWidth="1"/>
    <col min="6" max="6" width="9.00390625" style="0" hidden="1" customWidth="1"/>
    <col min="7" max="8" width="11.421875" style="0" hidden="1" customWidth="1"/>
    <col min="9" max="9" width="7.7109375" style="0" hidden="1" customWidth="1"/>
    <col min="10" max="11" width="11.8515625" style="0" hidden="1" customWidth="1"/>
    <col min="12" max="28" width="9.140625" style="0" hidden="1" customWidth="1"/>
    <col min="29" max="16384" width="9.140625" style="0" customWidth="1"/>
  </cols>
  <sheetData>
    <row r="1" ht="12.75">
      <c r="R1" t="s">
        <v>184</v>
      </c>
    </row>
    <row r="2" spans="1:28" ht="12.75">
      <c r="A2" s="4" t="s">
        <v>19</v>
      </c>
      <c r="D2" s="81"/>
      <c r="E2" s="81"/>
      <c r="R2" s="93" t="str">
        <f>G24</f>
        <v>0</v>
      </c>
      <c r="S2" s="38">
        <f>ABS($R$2-U2)</f>
        <v>6.2</v>
      </c>
      <c r="T2" s="38">
        <f>ABS($R$18-U2)</f>
        <v>6.2</v>
      </c>
      <c r="U2" s="29">
        <v>6.2</v>
      </c>
      <c r="V2" s="6" t="s">
        <v>66</v>
      </c>
      <c r="W2" s="27" t="s">
        <v>67</v>
      </c>
      <c r="X2" s="28">
        <v>440</v>
      </c>
      <c r="Y2" s="29">
        <v>7.5</v>
      </c>
      <c r="Z2" s="29">
        <v>6.2</v>
      </c>
      <c r="AA2" s="27" t="s">
        <v>68</v>
      </c>
      <c r="AB2" s="30">
        <v>50</v>
      </c>
    </row>
    <row r="3" spans="1:28" ht="12.75">
      <c r="A3">
        <v>3</v>
      </c>
      <c r="R3" s="38">
        <f>MIN(S2:S58)</f>
        <v>6.2</v>
      </c>
      <c r="S3" s="38">
        <f aca="true" t="shared" si="0" ref="S3:S58">ABS($R$2-U3)</f>
        <v>10</v>
      </c>
      <c r="T3" s="38">
        <f aca="true" t="shared" si="1" ref="T3:T58">ABS($R$18-U3)</f>
        <v>10</v>
      </c>
      <c r="U3" s="31">
        <v>10</v>
      </c>
      <c r="V3" s="6" t="s">
        <v>69</v>
      </c>
      <c r="W3" s="27" t="s">
        <v>70</v>
      </c>
      <c r="X3" s="28">
        <v>440</v>
      </c>
      <c r="Y3" s="29">
        <v>12.5</v>
      </c>
      <c r="Z3" s="31">
        <v>10</v>
      </c>
      <c r="AA3" s="27" t="s">
        <v>68</v>
      </c>
      <c r="AB3" s="30">
        <v>50</v>
      </c>
    </row>
    <row r="4" spans="1:28" ht="12.75">
      <c r="A4">
        <v>6</v>
      </c>
      <c r="R4">
        <f>IF(R2=0,"-",VLOOKUP(R3,S2:AB58,3,FALSE))</f>
        <v>6.2</v>
      </c>
      <c r="S4" s="38">
        <f t="shared" si="0"/>
        <v>14</v>
      </c>
      <c r="T4" s="38">
        <f t="shared" si="1"/>
        <v>14</v>
      </c>
      <c r="U4" s="31">
        <v>14</v>
      </c>
      <c r="V4" s="6" t="s">
        <v>71</v>
      </c>
      <c r="W4" s="27" t="s">
        <v>72</v>
      </c>
      <c r="X4" s="28">
        <v>440</v>
      </c>
      <c r="Y4" s="29">
        <v>17.5</v>
      </c>
      <c r="Z4" s="31">
        <v>14</v>
      </c>
      <c r="AA4" s="27" t="s">
        <v>73</v>
      </c>
      <c r="AB4" s="30">
        <v>50</v>
      </c>
    </row>
    <row r="5" spans="18:28" ht="12.75">
      <c r="R5" t="str">
        <f>IF(R2=0,"-",VLOOKUP(R3,S2:AB58,4,FALSE))</f>
        <v>STD3-7,5-440 </v>
      </c>
      <c r="S5" s="38">
        <f t="shared" si="0"/>
        <v>21</v>
      </c>
      <c r="T5" s="38">
        <f t="shared" si="1"/>
        <v>21</v>
      </c>
      <c r="U5" s="31">
        <v>21</v>
      </c>
      <c r="V5" s="6" t="s">
        <v>74</v>
      </c>
      <c r="W5" s="27" t="s">
        <v>75</v>
      </c>
      <c r="X5" s="28">
        <v>440</v>
      </c>
      <c r="Y5" s="31">
        <v>25</v>
      </c>
      <c r="Z5" s="31">
        <v>21</v>
      </c>
      <c r="AA5" s="27" t="s">
        <v>68</v>
      </c>
      <c r="AB5" s="30">
        <v>50</v>
      </c>
    </row>
    <row r="6" spans="1:28" ht="12.75">
      <c r="A6" s="5" t="s">
        <v>24</v>
      </c>
      <c r="M6" t="s">
        <v>26</v>
      </c>
      <c r="R6" t="str">
        <f>IF(R2=0,"-",VLOOKUP(R3,S2:AB58,5,FALSE))</f>
        <v>2,5+5</v>
      </c>
      <c r="S6" s="38">
        <f t="shared" si="0"/>
        <v>26</v>
      </c>
      <c r="T6" s="38">
        <f t="shared" si="1"/>
        <v>26</v>
      </c>
      <c r="U6" s="31">
        <v>26</v>
      </c>
      <c r="V6" s="6" t="s">
        <v>76</v>
      </c>
      <c r="W6" s="27" t="s">
        <v>77</v>
      </c>
      <c r="X6" s="28">
        <v>440</v>
      </c>
      <c r="Y6" s="31">
        <v>31.25</v>
      </c>
      <c r="Z6" s="31">
        <v>26</v>
      </c>
      <c r="AA6" s="27" t="s">
        <v>68</v>
      </c>
      <c r="AB6" s="30">
        <v>50</v>
      </c>
    </row>
    <row r="7" spans="1:28" ht="12.75">
      <c r="A7" s="5"/>
      <c r="R7">
        <f>IF(R2=0,"-",VLOOKUP(R3,S2:AB58,6,FALSE))</f>
        <v>440</v>
      </c>
      <c r="S7" s="38">
        <f t="shared" si="0"/>
        <v>31.25</v>
      </c>
      <c r="T7" s="38">
        <f t="shared" si="1"/>
        <v>31.25</v>
      </c>
      <c r="U7" s="32">
        <v>31.25</v>
      </c>
      <c r="V7" s="6" t="s">
        <v>78</v>
      </c>
      <c r="W7" s="27" t="s">
        <v>79</v>
      </c>
      <c r="X7" s="28">
        <v>440</v>
      </c>
      <c r="Y7" s="29">
        <v>37.5</v>
      </c>
      <c r="Z7" s="32">
        <v>31.25</v>
      </c>
      <c r="AA7" s="27" t="s">
        <v>68</v>
      </c>
      <c r="AB7" s="30">
        <v>50</v>
      </c>
    </row>
    <row r="8" spans="2:28" ht="26.25" thickBot="1">
      <c r="B8" t="s">
        <v>20</v>
      </c>
      <c r="C8" t="s">
        <v>23</v>
      </c>
      <c r="D8" t="s">
        <v>16</v>
      </c>
      <c r="E8" t="s">
        <v>16</v>
      </c>
      <c r="F8" s="13" t="s">
        <v>28</v>
      </c>
      <c r="G8" s="13" t="s">
        <v>27</v>
      </c>
      <c r="H8" s="13" t="s">
        <v>27</v>
      </c>
      <c r="I8" s="13" t="s">
        <v>29</v>
      </c>
      <c r="J8" s="13" t="s">
        <v>18</v>
      </c>
      <c r="K8" s="13" t="s">
        <v>18</v>
      </c>
      <c r="M8" t="s">
        <v>20</v>
      </c>
      <c r="N8">
        <v>2009</v>
      </c>
      <c r="O8">
        <v>2010</v>
      </c>
      <c r="P8" t="s">
        <v>32</v>
      </c>
      <c r="R8">
        <f>IF(R2=0,"-",VLOOKUP(R3,S2:AB58,7,FALSE))</f>
        <v>7.5</v>
      </c>
      <c r="S8" s="38">
        <f t="shared" si="0"/>
        <v>36</v>
      </c>
      <c r="T8" s="38">
        <f t="shared" si="1"/>
        <v>36</v>
      </c>
      <c r="U8" s="31">
        <v>36</v>
      </c>
      <c r="V8" s="6" t="s">
        <v>80</v>
      </c>
      <c r="W8" s="27" t="s">
        <v>81</v>
      </c>
      <c r="X8" s="28">
        <v>440</v>
      </c>
      <c r="Y8" s="32">
        <v>43.75</v>
      </c>
      <c r="Z8" s="31">
        <v>36</v>
      </c>
      <c r="AA8" s="27" t="s">
        <v>68</v>
      </c>
      <c r="AB8" s="30">
        <v>50</v>
      </c>
    </row>
    <row r="9" spans="1:28" ht="12.75">
      <c r="A9" t="s">
        <v>9</v>
      </c>
      <c r="B9" t="e">
        <f>COS(ATAN(Por_Consumos!E21/Por_Consumos!D21))</f>
        <v>#DIV/0!</v>
      </c>
      <c r="C9" s="90" t="str">
        <f>IF(ISERROR(B9),"-",ROUND(B9,2))</f>
        <v>-</v>
      </c>
      <c r="D9">
        <f>Por_Consumos!E21-(Por_Consumos!D21*0.33)</f>
        <v>0</v>
      </c>
      <c r="E9" t="str">
        <f>IF(D9&lt;=0,"-",D9)</f>
        <v>-</v>
      </c>
      <c r="F9" t="str">
        <f aca="true" t="shared" si="2" ref="F9:F14">IF(C9="-","-",VLOOKUP(C9+0.01,$M$9:$O$108,2,TRUE))</f>
        <v>-</v>
      </c>
      <c r="G9" t="e">
        <f>ROUND(F9*E9,2)</f>
        <v>#VALUE!</v>
      </c>
      <c r="H9" s="87" t="str">
        <f aca="true" t="shared" si="3" ref="H9:H14">IF(ISERROR(G9),"-",G9)</f>
        <v>-</v>
      </c>
      <c r="I9" t="str">
        <f aca="true" t="shared" si="4" ref="I9:I14">IF(C9="-","-",VLOOKUP(C9+0.01,$M$9:$O$108,3,TRUE))</f>
        <v>-</v>
      </c>
      <c r="J9" t="e">
        <f>ROUND(I9*E9,2)</f>
        <v>#VALUE!</v>
      </c>
      <c r="K9" s="87" t="str">
        <f aca="true" t="shared" si="5" ref="K9:K14">IF(ISERROR(J9),"-",J9)</f>
        <v>-</v>
      </c>
      <c r="M9">
        <v>0</v>
      </c>
      <c r="N9">
        <v>0.051056</v>
      </c>
      <c r="O9">
        <v>0.062332</v>
      </c>
      <c r="P9">
        <f aca="true" t="shared" si="6" ref="P9:P72">ROUND(TAN(ACOS(M9)),2)</f>
        <v>16324552277619100</v>
      </c>
      <c r="R9" t="str">
        <f>IF(R2=0,"-",VLOOKUP(R3,S2:AB58,9,FALSE))</f>
        <v>1.2.2.</v>
      </c>
      <c r="S9" s="38">
        <f t="shared" si="0"/>
        <v>41</v>
      </c>
      <c r="T9" s="38">
        <f t="shared" si="1"/>
        <v>41</v>
      </c>
      <c r="U9" s="31">
        <v>41</v>
      </c>
      <c r="V9" s="6" t="s">
        <v>82</v>
      </c>
      <c r="W9" s="27" t="s">
        <v>83</v>
      </c>
      <c r="X9" s="28">
        <v>440</v>
      </c>
      <c r="Y9" s="31">
        <v>50</v>
      </c>
      <c r="Z9" s="31">
        <v>41</v>
      </c>
      <c r="AA9" s="27" t="s">
        <v>68</v>
      </c>
      <c r="AB9" s="30">
        <v>50</v>
      </c>
    </row>
    <row r="10" spans="1:28" ht="12.75">
      <c r="A10" t="s">
        <v>10</v>
      </c>
      <c r="B10" t="e">
        <f>COS(ATAN(Por_Consumos!E22/Por_Consumos!D22))</f>
        <v>#DIV/0!</v>
      </c>
      <c r="C10" s="91" t="str">
        <f>IF(ISERROR(B10),"-",ROUND(B10,2))</f>
        <v>-</v>
      </c>
      <c r="D10">
        <f>Por_Consumos!E22-(Por_Consumos!D22*0.33)</f>
        <v>0</v>
      </c>
      <c r="E10" t="str">
        <f>IF(D10&lt;=0,"-",D10)</f>
        <v>-</v>
      </c>
      <c r="F10" t="str">
        <f t="shared" si="2"/>
        <v>-</v>
      </c>
      <c r="G10" t="e">
        <f>ROUND(F10*E10,2)</f>
        <v>#VALUE!</v>
      </c>
      <c r="H10" s="88" t="str">
        <f t="shared" si="3"/>
        <v>-</v>
      </c>
      <c r="I10" t="str">
        <f t="shared" si="4"/>
        <v>-</v>
      </c>
      <c r="J10" t="e">
        <f>ROUND(I10*E10,2)</f>
        <v>#VALUE!</v>
      </c>
      <c r="K10" s="88" t="str">
        <f t="shared" si="5"/>
        <v>-</v>
      </c>
      <c r="M10">
        <v>0.01</v>
      </c>
      <c r="N10">
        <v>0.051056</v>
      </c>
      <c r="O10">
        <v>0.062332</v>
      </c>
      <c r="P10">
        <f t="shared" si="6"/>
        <v>99.99</v>
      </c>
      <c r="R10">
        <f>IF(R2=0,"-",VLOOKUP(R3,S2:AB58,10,FALSE))</f>
        <v>50</v>
      </c>
      <c r="S10" s="38">
        <f t="shared" si="0"/>
        <v>45</v>
      </c>
      <c r="T10" s="38">
        <f t="shared" si="1"/>
        <v>45</v>
      </c>
      <c r="U10" s="31">
        <v>45</v>
      </c>
      <c r="V10" s="6" t="s">
        <v>84</v>
      </c>
      <c r="W10" s="27" t="s">
        <v>85</v>
      </c>
      <c r="X10" s="28">
        <v>440</v>
      </c>
      <c r="Y10" s="31">
        <v>55</v>
      </c>
      <c r="Z10" s="31">
        <v>45</v>
      </c>
      <c r="AA10" s="27" t="s">
        <v>73</v>
      </c>
      <c r="AB10" s="30">
        <v>50</v>
      </c>
    </row>
    <row r="11" spans="1:28" ht="12.75">
      <c r="A11" t="s">
        <v>11</v>
      </c>
      <c r="B11" t="e">
        <f>COS(ATAN(Por_Consumos!E23/Por_Consumos!D23))</f>
        <v>#DIV/0!</v>
      </c>
      <c r="C11" s="91" t="str">
        <f>IF(ISERROR(B11),"-",ROUND(B11,2))</f>
        <v>-</v>
      </c>
      <c r="D11">
        <f>Por_Consumos!E23-(Por_Consumos!D23*0.33)</f>
        <v>0</v>
      </c>
      <c r="E11" t="str">
        <f>IF(D11&lt;=0,"-",D11)</f>
        <v>-</v>
      </c>
      <c r="F11" t="str">
        <f t="shared" si="2"/>
        <v>-</v>
      </c>
      <c r="G11" t="str">
        <f>IF(Por_Consumos!C17=3,"-",ROUND(F11*E11,2))</f>
        <v>-</v>
      </c>
      <c r="H11" s="88" t="str">
        <f t="shared" si="3"/>
        <v>-</v>
      </c>
      <c r="I11" t="str">
        <f t="shared" si="4"/>
        <v>-</v>
      </c>
      <c r="J11" t="str">
        <f>IF(Por_Consumos!C17=3,"-",ROUND(I11*E11,2))</f>
        <v>-</v>
      </c>
      <c r="K11" s="88" t="str">
        <f t="shared" si="5"/>
        <v>-</v>
      </c>
      <c r="M11">
        <v>0.02</v>
      </c>
      <c r="N11">
        <v>0.051056</v>
      </c>
      <c r="O11">
        <v>0.062332</v>
      </c>
      <c r="P11">
        <f t="shared" si="6"/>
        <v>49.99</v>
      </c>
      <c r="S11" s="38">
        <f t="shared" si="0"/>
        <v>50</v>
      </c>
      <c r="T11" s="38">
        <f t="shared" si="1"/>
        <v>50</v>
      </c>
      <c r="U11" s="31">
        <v>50</v>
      </c>
      <c r="V11" s="6" t="s">
        <v>86</v>
      </c>
      <c r="W11" s="27" t="s">
        <v>87</v>
      </c>
      <c r="X11" s="28">
        <v>440</v>
      </c>
      <c r="Y11" s="31">
        <v>60</v>
      </c>
      <c r="Z11" s="31">
        <v>50</v>
      </c>
      <c r="AA11" s="27" t="s">
        <v>88</v>
      </c>
      <c r="AB11" s="30">
        <v>50</v>
      </c>
    </row>
    <row r="12" spans="1:28" ht="12.75">
      <c r="A12" t="s">
        <v>12</v>
      </c>
      <c r="B12" t="str">
        <f>IF(Por_Consumos!$C$17=3,"-",COS(ATAN(Por_Consumos!E24/Por_Consumos!D24)))</f>
        <v>-</v>
      </c>
      <c r="C12" s="91" t="str">
        <f>IF(ISERROR(B12),"-",IF(B12="-","-",ROUND(B12,2)))</f>
        <v>-</v>
      </c>
      <c r="D12">
        <f>Por_Consumos!E24-(Por_Consumos!D24*0.33)</f>
        <v>0</v>
      </c>
      <c r="E12" t="str">
        <f>IF(Por_Consumos!C17=3,"-",IF(D12&lt;=0,"-",D12))</f>
        <v>-</v>
      </c>
      <c r="F12" t="str">
        <f t="shared" si="2"/>
        <v>-</v>
      </c>
      <c r="G12" t="e">
        <f>ROUND(F12*E12,2)</f>
        <v>#VALUE!</v>
      </c>
      <c r="H12" s="88" t="str">
        <f t="shared" si="3"/>
        <v>-</v>
      </c>
      <c r="I12" t="str">
        <f t="shared" si="4"/>
        <v>-</v>
      </c>
      <c r="J12" t="e">
        <f>ROUND(I12*E12,2)</f>
        <v>#VALUE!</v>
      </c>
      <c r="K12" s="88" t="str">
        <f t="shared" si="5"/>
        <v>-</v>
      </c>
      <c r="M12">
        <v>0.03</v>
      </c>
      <c r="N12">
        <v>0.051056</v>
      </c>
      <c r="O12">
        <v>0.062332</v>
      </c>
      <c r="P12">
        <f t="shared" si="6"/>
        <v>33.32</v>
      </c>
      <c r="S12" s="38">
        <f t="shared" si="0"/>
        <v>58</v>
      </c>
      <c r="T12" s="38">
        <f t="shared" si="1"/>
        <v>58</v>
      </c>
      <c r="U12" s="31">
        <v>58</v>
      </c>
      <c r="V12" s="6" t="s">
        <v>89</v>
      </c>
      <c r="W12" s="27" t="s">
        <v>90</v>
      </c>
      <c r="X12" s="28">
        <v>440</v>
      </c>
      <c r="Y12" s="31">
        <v>70</v>
      </c>
      <c r="Z12" s="31">
        <v>58</v>
      </c>
      <c r="AA12" s="27" t="s">
        <v>68</v>
      </c>
      <c r="AB12" s="30">
        <v>50</v>
      </c>
    </row>
    <row r="13" spans="1:28" ht="12.75">
      <c r="A13" t="s">
        <v>13</v>
      </c>
      <c r="B13" t="str">
        <f>IF(Por_Consumos!$C$17=3,"-",COS(ATAN(Por_Consumos!E25/Por_Consumos!D25)))</f>
        <v>-</v>
      </c>
      <c r="C13" s="91" t="str">
        <f>IF(ISERROR(B13),"-",IF(B13="-","-",ROUND(B13,2)))</f>
        <v>-</v>
      </c>
      <c r="D13">
        <f>Por_Consumos!E25-(Por_Consumos!D25*0.33)</f>
        <v>0</v>
      </c>
      <c r="E13" t="str">
        <f>IF(Por_Consumos!C17=3,"-",IF(D13&lt;=0,"-",D13))</f>
        <v>-</v>
      </c>
      <c r="F13" t="str">
        <f t="shared" si="2"/>
        <v>-</v>
      </c>
      <c r="G13" t="e">
        <f>ROUND(F13*E13,2)</f>
        <v>#VALUE!</v>
      </c>
      <c r="H13" s="88" t="str">
        <f t="shared" si="3"/>
        <v>-</v>
      </c>
      <c r="I13" t="str">
        <f t="shared" si="4"/>
        <v>-</v>
      </c>
      <c r="J13" t="e">
        <f>ROUND(I13*E13,2)</f>
        <v>#VALUE!</v>
      </c>
      <c r="K13" s="88" t="str">
        <f t="shared" si="5"/>
        <v>-</v>
      </c>
      <c r="M13">
        <v>0.04</v>
      </c>
      <c r="N13">
        <v>0.051056</v>
      </c>
      <c r="O13">
        <v>0.062332</v>
      </c>
      <c r="P13">
        <f t="shared" si="6"/>
        <v>24.98</v>
      </c>
      <c r="S13" s="38">
        <f t="shared" si="0"/>
        <v>66</v>
      </c>
      <c r="T13" s="38">
        <f t="shared" si="1"/>
        <v>66</v>
      </c>
      <c r="U13" s="31">
        <v>66</v>
      </c>
      <c r="V13" s="6" t="s">
        <v>91</v>
      </c>
      <c r="W13" s="27" t="s">
        <v>92</v>
      </c>
      <c r="X13" s="28">
        <v>440</v>
      </c>
      <c r="Y13" s="31">
        <v>80</v>
      </c>
      <c r="Z13" s="31">
        <v>66</v>
      </c>
      <c r="AA13" s="27" t="s">
        <v>88</v>
      </c>
      <c r="AB13" s="30">
        <v>50</v>
      </c>
    </row>
    <row r="14" spans="1:28" ht="13.5" thickBot="1">
      <c r="A14" t="s">
        <v>14</v>
      </c>
      <c r="B14" t="str">
        <f>IF(Por_Consumos!$C$17=3,"-",COS(ATAN(Por_Consumos!E26/Por_Consumos!D26)))</f>
        <v>-</v>
      </c>
      <c r="C14" s="92" t="str">
        <f>IF(ISERROR(B14),"-",IF(B14="-","-",ROUND(B14,2)))</f>
        <v>-</v>
      </c>
      <c r="D14">
        <f>Por_Consumos!E26-(Por_Consumos!D26*0.33)</f>
        <v>0</v>
      </c>
      <c r="E14" t="str">
        <f>IF(Por_Consumos!C17=3,"-",IF(D14&lt;=0,"-",D14))</f>
        <v>-</v>
      </c>
      <c r="F14" t="str">
        <f t="shared" si="2"/>
        <v>-</v>
      </c>
      <c r="G14" t="e">
        <f>IF(Por_Consumos!C17=6,"-",ROUND(F14*E14,2))</f>
        <v>#VALUE!</v>
      </c>
      <c r="H14" s="89" t="str">
        <f t="shared" si="3"/>
        <v>-</v>
      </c>
      <c r="I14" t="str">
        <f t="shared" si="4"/>
        <v>-</v>
      </c>
      <c r="J14" t="e">
        <f>IF(Por_Consumos!C17=6,"-",ROUND(I14*E14,2))</f>
        <v>#VALUE!</v>
      </c>
      <c r="K14" s="89" t="str">
        <f t="shared" si="5"/>
        <v>-</v>
      </c>
      <c r="M14">
        <v>0.05</v>
      </c>
      <c r="N14">
        <v>0.051056</v>
      </c>
      <c r="O14">
        <v>0.062332</v>
      </c>
      <c r="P14">
        <f t="shared" si="6"/>
        <v>19.97</v>
      </c>
      <c r="S14" s="38">
        <f t="shared" si="0"/>
        <v>72</v>
      </c>
      <c r="T14" s="38">
        <f t="shared" si="1"/>
        <v>72</v>
      </c>
      <c r="U14" s="31">
        <v>72</v>
      </c>
      <c r="V14" s="6" t="s">
        <v>93</v>
      </c>
      <c r="W14" s="27" t="s">
        <v>94</v>
      </c>
      <c r="X14" s="28">
        <v>440</v>
      </c>
      <c r="Y14" s="29">
        <v>87.5</v>
      </c>
      <c r="Z14" s="31">
        <v>72</v>
      </c>
      <c r="AA14" s="27" t="s">
        <v>68</v>
      </c>
      <c r="AB14" s="30">
        <v>50</v>
      </c>
    </row>
    <row r="15" spans="13:28" ht="12.75">
      <c r="M15">
        <v>0.06</v>
      </c>
      <c r="N15">
        <v>0.051056</v>
      </c>
      <c r="O15">
        <v>0.062332</v>
      </c>
      <c r="P15">
        <f t="shared" si="6"/>
        <v>16.64</v>
      </c>
      <c r="S15" s="38">
        <f t="shared" si="0"/>
        <v>83</v>
      </c>
      <c r="T15" s="38">
        <f t="shared" si="1"/>
        <v>83</v>
      </c>
      <c r="U15" s="31">
        <v>83</v>
      </c>
      <c r="V15" s="6" t="s">
        <v>95</v>
      </c>
      <c r="W15" s="27" t="s">
        <v>96</v>
      </c>
      <c r="X15" s="28">
        <v>440</v>
      </c>
      <c r="Y15" s="29">
        <v>100</v>
      </c>
      <c r="Z15" s="31">
        <v>83</v>
      </c>
      <c r="AA15" s="27" t="s">
        <v>88</v>
      </c>
      <c r="AB15" s="30">
        <v>50</v>
      </c>
    </row>
    <row r="16" spans="2:28" ht="25.5">
      <c r="B16" t="s">
        <v>186</v>
      </c>
      <c r="C16" s="84" t="s">
        <v>187</v>
      </c>
      <c r="D16" s="13"/>
      <c r="F16" s="13" t="s">
        <v>15</v>
      </c>
      <c r="G16" s="13"/>
      <c r="M16">
        <v>0.07</v>
      </c>
      <c r="N16">
        <v>0.051056</v>
      </c>
      <c r="O16">
        <v>0.062332</v>
      </c>
      <c r="P16">
        <f t="shared" si="6"/>
        <v>14.25</v>
      </c>
      <c r="S16" s="38">
        <f t="shared" si="0"/>
        <v>87</v>
      </c>
      <c r="T16" s="38">
        <f t="shared" si="1"/>
        <v>87</v>
      </c>
      <c r="U16" s="31">
        <v>87</v>
      </c>
      <c r="V16" s="6" t="s">
        <v>97</v>
      </c>
      <c r="W16" s="27" t="s">
        <v>98</v>
      </c>
      <c r="X16" s="28">
        <v>440</v>
      </c>
      <c r="Y16" s="29">
        <v>105</v>
      </c>
      <c r="Z16" s="31">
        <v>87</v>
      </c>
      <c r="AA16" s="27" t="s">
        <v>68</v>
      </c>
      <c r="AB16" s="30">
        <v>50</v>
      </c>
    </row>
    <row r="17" spans="1:28" ht="12.75">
      <c r="A17" t="s">
        <v>9</v>
      </c>
      <c r="B17" s="3" t="e">
        <f>IF(Por_Consumos!$C$17=3,Por_Consumos!D21/(Por_Consumos!$D$21+Por_Consumos!$D$22),Por_Consumos!D21/(Por_Consumos!$D$21+Por_Consumos!$D$22+Por_Consumos!$D$23+Por_Consumos!$D$24+Por_Consumos!$D$25))</f>
        <v>#DIV/0!</v>
      </c>
      <c r="C17" s="3" t="e">
        <f>IF(B17=0,"-",B17*C9)</f>
        <v>#DIV/0!</v>
      </c>
      <c r="D17" s="3"/>
      <c r="F17" s="3">
        <f>Por_Consumos!F21</f>
        <v>0</v>
      </c>
      <c r="G17" s="14"/>
      <c r="M17">
        <v>0.08</v>
      </c>
      <c r="N17">
        <v>0.051056</v>
      </c>
      <c r="O17">
        <v>0.062332</v>
      </c>
      <c r="P17">
        <f t="shared" si="6"/>
        <v>12.46</v>
      </c>
      <c r="R17" t="s">
        <v>185</v>
      </c>
      <c r="S17" s="38">
        <f t="shared" si="0"/>
        <v>99</v>
      </c>
      <c r="T17" s="38">
        <f t="shared" si="1"/>
        <v>99</v>
      </c>
      <c r="U17" s="31">
        <v>99</v>
      </c>
      <c r="V17" s="6" t="s">
        <v>99</v>
      </c>
      <c r="W17" s="27" t="s">
        <v>100</v>
      </c>
      <c r="X17" s="28">
        <v>440</v>
      </c>
      <c r="Y17" s="31">
        <v>120</v>
      </c>
      <c r="Z17" s="31">
        <v>99</v>
      </c>
      <c r="AA17" s="27" t="s">
        <v>88</v>
      </c>
      <c r="AB17" s="30">
        <v>50</v>
      </c>
    </row>
    <row r="18" spans="1:28" ht="12.75">
      <c r="A18" t="s">
        <v>10</v>
      </c>
      <c r="B18" s="3" t="e">
        <f>IF(Por_Consumos!$C$17=3,Por_Consumos!D22/(Por_Consumos!$D$21+Por_Consumos!$D$22),Por_Consumos!D22/(Por_Consumos!$D$21+Por_Consumos!$D$22+Por_Consumos!$D$23+Por_Consumos!$D$24+Por_Consumos!$D$25))</f>
        <v>#DIV/0!</v>
      </c>
      <c r="C18" s="3" t="e">
        <f>IF(B18=0,"-",B18*C10)</f>
        <v>#DIV/0!</v>
      </c>
      <c r="D18" s="3"/>
      <c r="E18" s="3"/>
      <c r="F18" s="3">
        <f>Por_Consumos!F22</f>
        <v>0</v>
      </c>
      <c r="G18" s="14"/>
      <c r="M18">
        <v>0.09</v>
      </c>
      <c r="N18">
        <v>0.051056</v>
      </c>
      <c r="O18">
        <v>0.062332</v>
      </c>
      <c r="P18">
        <f t="shared" si="6"/>
        <v>11.07</v>
      </c>
      <c r="R18" s="93" t="str">
        <f>G47</f>
        <v>0</v>
      </c>
      <c r="S18" s="38">
        <f t="shared" si="0"/>
        <v>112</v>
      </c>
      <c r="T18" s="38">
        <f t="shared" si="1"/>
        <v>112</v>
      </c>
      <c r="U18" s="29">
        <v>112</v>
      </c>
      <c r="V18" s="6" t="s">
        <v>101</v>
      </c>
      <c r="W18" s="27" t="s">
        <v>102</v>
      </c>
      <c r="X18" s="28">
        <v>440</v>
      </c>
      <c r="Y18" s="29">
        <v>135</v>
      </c>
      <c r="Z18" s="29">
        <v>112</v>
      </c>
      <c r="AA18" s="27" t="s">
        <v>68</v>
      </c>
      <c r="AB18" s="30">
        <v>50</v>
      </c>
    </row>
    <row r="19" spans="1:28" ht="12.75">
      <c r="A19" t="s">
        <v>11</v>
      </c>
      <c r="B19" s="3">
        <f>IF(Por_Consumos!$C$17=3,0,Por_Consumos!D23/(Por_Consumos!$D$21+Por_Consumos!$D$22+Por_Consumos!$D$23+Por_Consumos!$D$24+Por_Consumos!$D$25))</f>
        <v>0</v>
      </c>
      <c r="C19" s="3" t="str">
        <f>IF(B19=0,"-",B19*C11)</f>
        <v>-</v>
      </c>
      <c r="D19" s="3"/>
      <c r="E19" s="3"/>
      <c r="F19" s="3">
        <f>IF(Por_Consumos!C17=3,0,Por_Consumos!F23)</f>
        <v>0</v>
      </c>
      <c r="G19" s="14"/>
      <c r="M19">
        <v>0.1</v>
      </c>
      <c r="N19">
        <v>0.051056</v>
      </c>
      <c r="O19">
        <v>0.062332</v>
      </c>
      <c r="P19">
        <f t="shared" si="6"/>
        <v>9.95</v>
      </c>
      <c r="R19" s="38">
        <f>MIN(T2:T58)</f>
        <v>6.2</v>
      </c>
      <c r="S19" s="38">
        <f t="shared" si="0"/>
        <v>124</v>
      </c>
      <c r="T19" s="38">
        <f t="shared" si="1"/>
        <v>124</v>
      </c>
      <c r="U19" s="31">
        <v>124</v>
      </c>
      <c r="V19" s="6" t="s">
        <v>103</v>
      </c>
      <c r="W19" s="27" t="s">
        <v>104</v>
      </c>
      <c r="X19" s="28">
        <v>440</v>
      </c>
      <c r="Y19" s="31">
        <v>150</v>
      </c>
      <c r="Z19" s="31">
        <v>124</v>
      </c>
      <c r="AA19" s="27" t="s">
        <v>88</v>
      </c>
      <c r="AB19" s="30">
        <v>50</v>
      </c>
    </row>
    <row r="20" spans="1:28" ht="12.75">
      <c r="A20" t="s">
        <v>12</v>
      </c>
      <c r="B20" s="3" t="e">
        <f>IF(Por_Consumos!$C$17=3,Por_Consumos!D24/(Por_Consumos!$D$21+Por_Consumos!$D$22),Por_Consumos!D24/(Por_Consumos!$D$21+Por_Consumos!$D$22+Por_Consumos!$D$23+Por_Consumos!$D$24+Por_Consumos!$D$25))</f>
        <v>#DIV/0!</v>
      </c>
      <c r="C20" s="3" t="e">
        <f>IF(B20=0,"-",B20*C12)</f>
        <v>#DIV/0!</v>
      </c>
      <c r="D20" s="3"/>
      <c r="E20" s="3"/>
      <c r="F20" s="3">
        <f>IF(Por_Consumos!C17=3,0,Por_Consumos!F24)</f>
        <v>0</v>
      </c>
      <c r="G20" s="14"/>
      <c r="M20">
        <v>0.11</v>
      </c>
      <c r="N20">
        <v>0.051056</v>
      </c>
      <c r="O20">
        <v>0.062332</v>
      </c>
      <c r="P20">
        <f t="shared" si="6"/>
        <v>9.04</v>
      </c>
      <c r="R20">
        <f>IF(R18=0,"-",VLOOKUP(R19,T2:AB58,2,FALSE))</f>
        <v>6.2</v>
      </c>
      <c r="S20" s="38">
        <f t="shared" si="0"/>
        <v>136</v>
      </c>
      <c r="T20" s="38">
        <f t="shared" si="1"/>
        <v>136</v>
      </c>
      <c r="U20" s="29">
        <v>136</v>
      </c>
      <c r="V20" s="6" t="s">
        <v>105</v>
      </c>
      <c r="W20" s="27" t="s">
        <v>106</v>
      </c>
      <c r="X20" s="28">
        <v>440</v>
      </c>
      <c r="Y20" s="29">
        <v>165</v>
      </c>
      <c r="Z20" s="29">
        <v>136</v>
      </c>
      <c r="AA20" s="27" t="s">
        <v>68</v>
      </c>
      <c r="AB20" s="30">
        <v>50</v>
      </c>
    </row>
    <row r="21" spans="1:28" ht="12.75">
      <c r="A21" t="s">
        <v>13</v>
      </c>
      <c r="B21" s="3" t="e">
        <f>IF(Por_Consumos!$C$17=3,Por_Consumos!D25/(Por_Consumos!$D$21+Por_Consumos!$D$22),Por_Consumos!D25/(Por_Consumos!$D$21+Por_Consumos!$D$22+Por_Consumos!$D$23+Por_Consumos!$D$24+Por_Consumos!$D$25))</f>
        <v>#DIV/0!</v>
      </c>
      <c r="C21" s="3" t="e">
        <f>IF(B21=0,"-",B21*C13)</f>
        <v>#DIV/0!</v>
      </c>
      <c r="D21" s="3"/>
      <c r="E21" s="3"/>
      <c r="F21" s="3">
        <f>IF(Por_Consumos!C17=3,0,Por_Consumos!F25)</f>
        <v>0</v>
      </c>
      <c r="G21" s="14"/>
      <c r="M21">
        <v>0.12</v>
      </c>
      <c r="N21">
        <v>0.051056</v>
      </c>
      <c r="O21">
        <v>0.062332</v>
      </c>
      <c r="P21">
        <f t="shared" si="6"/>
        <v>8.27</v>
      </c>
      <c r="R21" t="str">
        <f>IF(R18=0,"-",VLOOKUP(R19,T2:AB58,3,FALSE))</f>
        <v>STD3-7,5-440 </v>
      </c>
      <c r="S21" s="38">
        <f t="shared" si="0"/>
        <v>149</v>
      </c>
      <c r="T21" s="38">
        <f t="shared" si="1"/>
        <v>149</v>
      </c>
      <c r="U21" s="31">
        <v>149</v>
      </c>
      <c r="V21" s="6" t="s">
        <v>107</v>
      </c>
      <c r="W21" s="27" t="s">
        <v>108</v>
      </c>
      <c r="X21" s="28">
        <v>440</v>
      </c>
      <c r="Y21" s="31">
        <v>180</v>
      </c>
      <c r="Z21" s="31">
        <v>149</v>
      </c>
      <c r="AA21" s="27" t="s">
        <v>88</v>
      </c>
      <c r="AB21" s="30">
        <v>50</v>
      </c>
    </row>
    <row r="22" spans="1:28" ht="13.5" thickBot="1">
      <c r="A22" t="s">
        <v>14</v>
      </c>
      <c r="B22" s="3">
        <f>0</f>
        <v>0</v>
      </c>
      <c r="C22" s="3" t="str">
        <f>IF(B22=0,"-",B22*C14)</f>
        <v>-</v>
      </c>
      <c r="D22" s="3"/>
      <c r="E22" s="3"/>
      <c r="F22" s="3">
        <f>IF(Por_Consumos!C17=3,0,Por_Consumos!F26)</f>
        <v>0</v>
      </c>
      <c r="G22" s="14" t="s">
        <v>189</v>
      </c>
      <c r="H22" t="s">
        <v>190</v>
      </c>
      <c r="M22">
        <v>0.13</v>
      </c>
      <c r="N22">
        <v>0.051056</v>
      </c>
      <c r="O22">
        <v>0.062332</v>
      </c>
      <c r="P22">
        <f t="shared" si="6"/>
        <v>7.63</v>
      </c>
      <c r="R22" t="str">
        <f>IF(R18=0,"-",VLOOKUP(R19,T2:AB58,4,FALSE))</f>
        <v>2,5+5</v>
      </c>
      <c r="S22" s="38">
        <f t="shared" si="0"/>
        <v>161</v>
      </c>
      <c r="T22" s="38">
        <f t="shared" si="1"/>
        <v>161</v>
      </c>
      <c r="U22" s="29">
        <v>161</v>
      </c>
      <c r="V22" s="6" t="s">
        <v>109</v>
      </c>
      <c r="W22" s="27" t="s">
        <v>110</v>
      </c>
      <c r="X22" s="28">
        <v>440</v>
      </c>
      <c r="Y22" s="29">
        <v>195</v>
      </c>
      <c r="Z22" s="29">
        <v>161</v>
      </c>
      <c r="AA22" s="27" t="s">
        <v>68</v>
      </c>
      <c r="AB22" s="30">
        <v>50</v>
      </c>
    </row>
    <row r="23" spans="2:28" ht="39" customHeight="1" thickBot="1">
      <c r="B23" s="83" t="s">
        <v>188</v>
      </c>
      <c r="C23" s="82" t="e">
        <f>ROUND(SUM(C17:C22),2)</f>
        <v>#DIV/0!</v>
      </c>
      <c r="D23" s="13" t="s">
        <v>34</v>
      </c>
      <c r="E23" s="86">
        <f>VLOOKUP(Por_Consumos!$I$33+0.01,Hoja3!$M$9:$P$109,4,TRUE)</f>
        <v>0</v>
      </c>
      <c r="F23" s="82">
        <f>MAX(F17:F22)</f>
        <v>0</v>
      </c>
      <c r="G23" s="85" t="e">
        <f>F23*(ROUND(TAN(ACOS(C23)),2)-E23)</f>
        <v>#DIV/0!</v>
      </c>
      <c r="H23" t="e">
        <f>ROUND(F23*TAN(ACOS(C23)),2)</f>
        <v>#DIV/0!</v>
      </c>
      <c r="M23">
        <v>0.14</v>
      </c>
      <c r="N23">
        <v>0.051056</v>
      </c>
      <c r="O23">
        <v>0.062332</v>
      </c>
      <c r="P23">
        <f t="shared" si="6"/>
        <v>7.07</v>
      </c>
      <c r="R23">
        <f>IF(R18=0,"-",VLOOKUP(R19,T2:AB58,5,FALSE))</f>
        <v>440</v>
      </c>
      <c r="S23" s="38">
        <f t="shared" si="0"/>
        <v>173</v>
      </c>
      <c r="T23" s="38">
        <f t="shared" si="1"/>
        <v>173</v>
      </c>
      <c r="U23" s="31">
        <v>173</v>
      </c>
      <c r="V23" s="6" t="s">
        <v>111</v>
      </c>
      <c r="W23" s="27" t="s">
        <v>112</v>
      </c>
      <c r="X23" s="28">
        <v>440</v>
      </c>
      <c r="Y23" s="31">
        <v>210</v>
      </c>
      <c r="Z23" s="31">
        <v>173</v>
      </c>
      <c r="AA23" s="27" t="s">
        <v>88</v>
      </c>
      <c r="AB23" s="30">
        <v>50</v>
      </c>
    </row>
    <row r="24" spans="3:28" ht="12.75">
      <c r="C24" s="100" t="str">
        <f>IF(ISERROR(C23),"-",C23)</f>
        <v>-</v>
      </c>
      <c r="D24" s="100"/>
      <c r="E24" s="100"/>
      <c r="F24" s="100"/>
      <c r="G24" s="100" t="str">
        <f>IF(ISERROR(G23),"0",G23)</f>
        <v>0</v>
      </c>
      <c r="H24" s="100" t="str">
        <f>IF(ISERROR(H23),"0",H23)</f>
        <v>0</v>
      </c>
      <c r="M24">
        <v>0.15</v>
      </c>
      <c r="N24">
        <v>0.051056</v>
      </c>
      <c r="O24">
        <v>0.062332</v>
      </c>
      <c r="P24">
        <f t="shared" si="6"/>
        <v>6.59</v>
      </c>
      <c r="R24">
        <f>IF(R18=0,"-",VLOOKUP(R19,T2:AB58,6,FALSE))</f>
        <v>7.5</v>
      </c>
      <c r="S24" s="38">
        <f t="shared" si="0"/>
        <v>186</v>
      </c>
      <c r="T24" s="38">
        <f t="shared" si="1"/>
        <v>186</v>
      </c>
      <c r="U24" s="29">
        <v>186</v>
      </c>
      <c r="V24" s="6" t="s">
        <v>113</v>
      </c>
      <c r="W24" s="27" t="s">
        <v>114</v>
      </c>
      <c r="X24" s="28">
        <v>440</v>
      </c>
      <c r="Y24" s="29">
        <v>225</v>
      </c>
      <c r="Z24" s="29">
        <v>186</v>
      </c>
      <c r="AA24" s="27" t="s">
        <v>68</v>
      </c>
      <c r="AB24" s="30">
        <v>50</v>
      </c>
    </row>
    <row r="25" spans="1:28" ht="12.75">
      <c r="A25" s="5" t="s">
        <v>43</v>
      </c>
      <c r="M25">
        <v>0.16</v>
      </c>
      <c r="N25">
        <v>0.051056</v>
      </c>
      <c r="O25">
        <v>0.062332</v>
      </c>
      <c r="P25">
        <f t="shared" si="6"/>
        <v>6.17</v>
      </c>
      <c r="R25" t="str">
        <f>IF(R18=0,"-",VLOOKUP(R19,T2:AB58,8,FALSE))</f>
        <v>1.2.2.</v>
      </c>
      <c r="S25" s="38">
        <f t="shared" si="0"/>
        <v>198</v>
      </c>
      <c r="T25" s="38">
        <f t="shared" si="1"/>
        <v>198</v>
      </c>
      <c r="U25" s="29">
        <v>198</v>
      </c>
      <c r="V25" s="6" t="s">
        <v>115</v>
      </c>
      <c r="W25" s="27" t="s">
        <v>116</v>
      </c>
      <c r="X25" s="28">
        <v>440</v>
      </c>
      <c r="Y25" s="29">
        <v>240</v>
      </c>
      <c r="Z25" s="29">
        <v>198</v>
      </c>
      <c r="AA25" s="27" t="s">
        <v>88</v>
      </c>
      <c r="AB25" s="30">
        <v>50</v>
      </c>
    </row>
    <row r="26" spans="13:28" ht="12.75">
      <c r="M26">
        <v>0.17</v>
      </c>
      <c r="N26">
        <v>0.051056</v>
      </c>
      <c r="O26">
        <v>0.062332</v>
      </c>
      <c r="P26">
        <f t="shared" si="6"/>
        <v>5.8</v>
      </c>
      <c r="R26">
        <f>IF(R18=0,"-",VLOOKUP(R19,T2:AB58,9,FALSE))</f>
        <v>50</v>
      </c>
      <c r="S26" s="38">
        <f t="shared" si="0"/>
        <v>210</v>
      </c>
      <c r="T26" s="38">
        <f t="shared" si="1"/>
        <v>210</v>
      </c>
      <c r="U26" s="31">
        <v>210</v>
      </c>
      <c r="V26" s="6" t="s">
        <v>117</v>
      </c>
      <c r="W26" s="27" t="s">
        <v>118</v>
      </c>
      <c r="X26" s="28">
        <v>440</v>
      </c>
      <c r="Y26" s="31">
        <v>255</v>
      </c>
      <c r="Z26" s="31">
        <v>210</v>
      </c>
      <c r="AA26" s="27" t="s">
        <v>68</v>
      </c>
      <c r="AB26" s="30">
        <v>50</v>
      </c>
    </row>
    <row r="27" spans="1:28" ht="12.75">
      <c r="A27" s="3" t="s">
        <v>42</v>
      </c>
      <c r="B27" s="3" t="str">
        <f>IF(ISERROR(Por_Consumos!F47/Por_Consumos!J27),"-",Por_Consumos!F47/Por_Consumos!J27)</f>
        <v>-</v>
      </c>
      <c r="C27" t="e">
        <f>INT(B27)+1</f>
        <v>#VALUE!</v>
      </c>
      <c r="D27" t="str">
        <f>IF(ISERROR(C27),"-",C27)</f>
        <v>-</v>
      </c>
      <c r="M27">
        <v>0.18</v>
      </c>
      <c r="N27">
        <v>0.051056</v>
      </c>
      <c r="O27">
        <v>0.062332</v>
      </c>
      <c r="P27">
        <f t="shared" si="6"/>
        <v>5.46</v>
      </c>
      <c r="S27" s="38">
        <f t="shared" si="0"/>
        <v>223</v>
      </c>
      <c r="T27" s="38">
        <f t="shared" si="1"/>
        <v>223</v>
      </c>
      <c r="U27" s="29">
        <v>223</v>
      </c>
      <c r="V27" s="6" t="s">
        <v>119</v>
      </c>
      <c r="W27" s="27" t="s">
        <v>120</v>
      </c>
      <c r="X27" s="28">
        <v>440</v>
      </c>
      <c r="Y27" s="29">
        <v>270</v>
      </c>
      <c r="Z27" s="29">
        <v>223</v>
      </c>
      <c r="AA27" s="27" t="s">
        <v>88</v>
      </c>
      <c r="AB27" s="30">
        <v>50</v>
      </c>
    </row>
    <row r="28" spans="13:28" ht="12.75">
      <c r="M28">
        <v>0.19</v>
      </c>
      <c r="N28">
        <v>0.051056</v>
      </c>
      <c r="O28">
        <v>0.062332</v>
      </c>
      <c r="P28">
        <f t="shared" si="6"/>
        <v>5.17</v>
      </c>
      <c r="S28" s="38">
        <f t="shared" si="0"/>
        <v>235</v>
      </c>
      <c r="T28" s="38">
        <f t="shared" si="1"/>
        <v>235</v>
      </c>
      <c r="U28" s="31">
        <v>235</v>
      </c>
      <c r="V28" s="6" t="s">
        <v>121</v>
      </c>
      <c r="W28" s="27" t="s">
        <v>122</v>
      </c>
      <c r="X28" s="28">
        <v>440</v>
      </c>
      <c r="Y28" s="31">
        <v>285</v>
      </c>
      <c r="Z28" s="31">
        <v>235</v>
      </c>
      <c r="AA28" s="27" t="s">
        <v>68</v>
      </c>
      <c r="AB28" s="30">
        <v>50</v>
      </c>
    </row>
    <row r="29" spans="1:28" ht="12.75">
      <c r="A29" s="5" t="s">
        <v>46</v>
      </c>
      <c r="M29">
        <v>0.2</v>
      </c>
      <c r="N29">
        <v>0.051056</v>
      </c>
      <c r="O29">
        <v>0.062332</v>
      </c>
      <c r="P29">
        <f t="shared" si="6"/>
        <v>4.9</v>
      </c>
      <c r="S29" s="38">
        <f t="shared" si="0"/>
        <v>248</v>
      </c>
      <c r="T29" s="38">
        <f t="shared" si="1"/>
        <v>248</v>
      </c>
      <c r="U29" s="29">
        <v>248</v>
      </c>
      <c r="V29" s="6" t="s">
        <v>123</v>
      </c>
      <c r="W29" s="27" t="s">
        <v>124</v>
      </c>
      <c r="X29" s="28">
        <v>440</v>
      </c>
      <c r="Y29" s="29">
        <v>300</v>
      </c>
      <c r="Z29" s="29">
        <v>248</v>
      </c>
      <c r="AA29" s="27" t="s">
        <v>88</v>
      </c>
      <c r="AB29" s="30">
        <v>50</v>
      </c>
    </row>
    <row r="30" spans="1:28" ht="12.75">
      <c r="A30" s="5"/>
      <c r="M30">
        <v>0.21</v>
      </c>
      <c r="N30">
        <v>0.051056</v>
      </c>
      <c r="O30">
        <v>0.062332</v>
      </c>
      <c r="P30">
        <f t="shared" si="6"/>
        <v>4.66</v>
      </c>
      <c r="S30" s="38">
        <f t="shared" si="0"/>
        <v>260</v>
      </c>
      <c r="T30" s="38">
        <f t="shared" si="1"/>
        <v>260</v>
      </c>
      <c r="U30" s="31">
        <v>260</v>
      </c>
      <c r="V30" s="6" t="s">
        <v>125</v>
      </c>
      <c r="W30" s="27" t="s">
        <v>126</v>
      </c>
      <c r="X30" s="28">
        <v>440</v>
      </c>
      <c r="Y30" s="31">
        <v>315</v>
      </c>
      <c r="Z30" s="31">
        <v>260</v>
      </c>
      <c r="AA30" s="27" t="s">
        <v>68</v>
      </c>
      <c r="AB30" s="30">
        <v>50</v>
      </c>
    </row>
    <row r="31" spans="2:28" ht="25.5">
      <c r="B31" t="s">
        <v>20</v>
      </c>
      <c r="C31" t="s">
        <v>23</v>
      </c>
      <c r="D31" t="s">
        <v>47</v>
      </c>
      <c r="E31" t="s">
        <v>47</v>
      </c>
      <c r="F31" s="13" t="s">
        <v>28</v>
      </c>
      <c r="G31" s="13" t="s">
        <v>27</v>
      </c>
      <c r="H31" s="13" t="s">
        <v>27</v>
      </c>
      <c r="I31" s="13" t="s">
        <v>29</v>
      </c>
      <c r="J31" s="13" t="s">
        <v>18</v>
      </c>
      <c r="K31" s="13" t="s">
        <v>18</v>
      </c>
      <c r="M31">
        <v>0.22</v>
      </c>
      <c r="N31">
        <v>0.051056</v>
      </c>
      <c r="O31">
        <v>0.062332</v>
      </c>
      <c r="P31">
        <f t="shared" si="6"/>
        <v>4.43</v>
      </c>
      <c r="S31" s="38">
        <f t="shared" si="0"/>
        <v>273</v>
      </c>
      <c r="T31" s="38">
        <f t="shared" si="1"/>
        <v>273</v>
      </c>
      <c r="U31" s="31">
        <v>273</v>
      </c>
      <c r="V31" s="6" t="s">
        <v>127</v>
      </c>
      <c r="W31" s="27" t="s">
        <v>128</v>
      </c>
      <c r="X31" s="28">
        <v>440</v>
      </c>
      <c r="Y31" s="31">
        <v>330</v>
      </c>
      <c r="Z31" s="31">
        <v>273</v>
      </c>
      <c r="AA31" s="27" t="s">
        <v>88</v>
      </c>
      <c r="AB31" s="30">
        <v>50</v>
      </c>
    </row>
    <row r="32" spans="1:28" ht="12.75">
      <c r="A32" t="s">
        <v>9</v>
      </c>
      <c r="B32" t="e">
        <f>COS(ATAN((Por_Excesos!E21+Por_Excesos!D21*0.33)/Por_Excesos!D21))</f>
        <v>#DIV/0!</v>
      </c>
      <c r="C32" s="14" t="str">
        <f>IF(ISERROR(B32),"-",ROUND(B32,2))</f>
        <v>-</v>
      </c>
      <c r="D32">
        <f>Por_Excesos!E21+Por_Excesos!D21*0.33</f>
        <v>0</v>
      </c>
      <c r="E32" t="str">
        <f>IF(D32&lt;=0,"-",D32)</f>
        <v>-</v>
      </c>
      <c r="F32" t="str">
        <f aca="true" t="shared" si="7" ref="F32:F37">IF(C32="-","-",VLOOKUP(C32+0.01,$M$9:$O$108,2,TRUE))</f>
        <v>-</v>
      </c>
      <c r="G32" t="e">
        <f>ROUND(F32*Por_Excesos!E21,2)</f>
        <v>#VALUE!</v>
      </c>
      <c r="H32" t="str">
        <f aca="true" t="shared" si="8" ref="H32:H37">IF(ISERROR(G32),"-",G32)</f>
        <v>-</v>
      </c>
      <c r="I32" t="str">
        <f aca="true" t="shared" si="9" ref="I32:I37">IF(C32="-","-",VLOOKUP(C32+0.01,$M$9:$O$108,3,TRUE))</f>
        <v>-</v>
      </c>
      <c r="J32" t="e">
        <f>ROUND(I32*Por_Excesos!E21,2)</f>
        <v>#VALUE!</v>
      </c>
      <c r="K32" t="str">
        <f aca="true" t="shared" si="10" ref="K32:K37">IF(ISERROR(J32),"-",J32)</f>
        <v>-</v>
      </c>
      <c r="M32">
        <v>0.23</v>
      </c>
      <c r="N32">
        <v>0.051056</v>
      </c>
      <c r="O32">
        <v>0.062332</v>
      </c>
      <c r="P32">
        <f t="shared" si="6"/>
        <v>4.23</v>
      </c>
      <c r="S32" s="38">
        <f t="shared" si="0"/>
        <v>285</v>
      </c>
      <c r="T32" s="38">
        <f t="shared" si="1"/>
        <v>285</v>
      </c>
      <c r="U32" s="31">
        <v>285</v>
      </c>
      <c r="V32" s="6" t="s">
        <v>129</v>
      </c>
      <c r="W32" s="27" t="s">
        <v>130</v>
      </c>
      <c r="X32" s="28">
        <v>440</v>
      </c>
      <c r="Y32" s="31">
        <v>345</v>
      </c>
      <c r="Z32" s="31">
        <v>285</v>
      </c>
      <c r="AA32" s="27" t="s">
        <v>68</v>
      </c>
      <c r="AB32" s="30">
        <v>50</v>
      </c>
    </row>
    <row r="33" spans="1:28" ht="12.75">
      <c r="A33" t="s">
        <v>10</v>
      </c>
      <c r="B33" t="e">
        <f>COS(ATAN((Por_Excesos!E22+Por_Excesos!D22*0.33)/Por_Excesos!D22))</f>
        <v>#DIV/0!</v>
      </c>
      <c r="C33" s="14" t="str">
        <f>IF(ISERROR(B33),"-",ROUND(B33,2))</f>
        <v>-</v>
      </c>
      <c r="D33">
        <f>Por_Excesos!E22+Por_Excesos!D22*0.33</f>
        <v>0</v>
      </c>
      <c r="E33" t="str">
        <f>IF(D33&lt;=0,"-",D33)</f>
        <v>-</v>
      </c>
      <c r="F33" t="str">
        <f t="shared" si="7"/>
        <v>-</v>
      </c>
      <c r="G33" t="e">
        <f>ROUND(F33*Por_Excesos!E22,2)</f>
        <v>#VALUE!</v>
      </c>
      <c r="H33" t="str">
        <f t="shared" si="8"/>
        <v>-</v>
      </c>
      <c r="I33" t="str">
        <f t="shared" si="9"/>
        <v>-</v>
      </c>
      <c r="J33" t="e">
        <f>ROUND(I33*Por_Excesos!E22,2)</f>
        <v>#VALUE!</v>
      </c>
      <c r="K33" t="str">
        <f t="shared" si="10"/>
        <v>-</v>
      </c>
      <c r="M33">
        <v>0.24</v>
      </c>
      <c r="N33">
        <v>0.051056</v>
      </c>
      <c r="O33">
        <v>0.062332</v>
      </c>
      <c r="P33">
        <f t="shared" si="6"/>
        <v>4.04</v>
      </c>
      <c r="S33" s="38">
        <f t="shared" si="0"/>
        <v>298</v>
      </c>
      <c r="T33" s="38">
        <f t="shared" si="1"/>
        <v>298</v>
      </c>
      <c r="U33" s="31">
        <v>298</v>
      </c>
      <c r="V33" s="6" t="s">
        <v>131</v>
      </c>
      <c r="W33" s="27" t="s">
        <v>132</v>
      </c>
      <c r="X33" s="28">
        <v>440</v>
      </c>
      <c r="Y33" s="31">
        <v>360</v>
      </c>
      <c r="Z33" s="31">
        <v>298</v>
      </c>
      <c r="AA33" s="27" t="s">
        <v>88</v>
      </c>
      <c r="AB33" s="30">
        <v>50</v>
      </c>
    </row>
    <row r="34" spans="1:28" ht="12.75">
      <c r="A34" t="s">
        <v>11</v>
      </c>
      <c r="B34" t="e">
        <f>COS(ATAN((Por_Excesos!E23+Por_Excesos!D23*0.33)/Por_Excesos!D23))</f>
        <v>#DIV/0!</v>
      </c>
      <c r="C34" s="14" t="str">
        <f>IF(ISERROR(B34),"-",ROUND(B34,2))</f>
        <v>-</v>
      </c>
      <c r="D34">
        <f>Por_Excesos!E23+Por_Excesos!D23*0.33</f>
        <v>0</v>
      </c>
      <c r="E34" t="str">
        <f>IF(D34&lt;=0,"-",D34)</f>
        <v>-</v>
      </c>
      <c r="F34" t="str">
        <f t="shared" si="7"/>
        <v>-</v>
      </c>
      <c r="G34" t="str">
        <f>IF(Por_Excesos!C17=3,"-",ROUND(F34*Por_Excesos!E23,2))</f>
        <v>-</v>
      </c>
      <c r="H34" t="str">
        <f t="shared" si="8"/>
        <v>-</v>
      </c>
      <c r="I34" t="str">
        <f t="shared" si="9"/>
        <v>-</v>
      </c>
      <c r="J34" t="str">
        <f>IF(Por_Excesos!C17=3,"-",ROUND(I34*Por_Excesos!E23,2))</f>
        <v>-</v>
      </c>
      <c r="K34" t="str">
        <f t="shared" si="10"/>
        <v>-</v>
      </c>
      <c r="M34">
        <v>0.25</v>
      </c>
      <c r="N34">
        <v>0.051056</v>
      </c>
      <c r="O34">
        <v>0.062332</v>
      </c>
      <c r="P34">
        <f t="shared" si="6"/>
        <v>3.87</v>
      </c>
      <c r="S34" s="38">
        <f t="shared" si="0"/>
        <v>273</v>
      </c>
      <c r="T34" s="38">
        <f t="shared" si="1"/>
        <v>273</v>
      </c>
      <c r="U34" s="31">
        <v>273</v>
      </c>
      <c r="V34" s="6" t="s">
        <v>133</v>
      </c>
      <c r="W34" s="27" t="s">
        <v>134</v>
      </c>
      <c r="X34" s="28">
        <v>440</v>
      </c>
      <c r="Y34" s="31">
        <v>330</v>
      </c>
      <c r="Z34" s="31">
        <v>273</v>
      </c>
      <c r="AA34" s="27" t="s">
        <v>68</v>
      </c>
      <c r="AB34" s="30">
        <v>50</v>
      </c>
    </row>
    <row r="35" spans="1:28" ht="12.75">
      <c r="A35" t="s">
        <v>12</v>
      </c>
      <c r="B35" t="str">
        <f>IF(Por_Excesos!$C$17=3,"-",COS(ATAN((Por_Excesos!E24+Por_Excesos!D24*0.33)/Por_Excesos!D24)))</f>
        <v>-</v>
      </c>
      <c r="C35" s="14" t="str">
        <f>IF(ISERROR(B35),"-",IF(B35="-","-",ROUND(B35,2)))</f>
        <v>-</v>
      </c>
      <c r="D35">
        <f>Por_Excesos!E24+Por_Excesos!D24*0.33</f>
        <v>0</v>
      </c>
      <c r="E35" t="str">
        <f>IF(D35&lt;=0,"-",IF(Por_Excesos!$C$17=3,"-",D35))</f>
        <v>-</v>
      </c>
      <c r="F35" t="str">
        <f t="shared" si="7"/>
        <v>-</v>
      </c>
      <c r="G35" t="e">
        <f>ROUND(F35*Por_Excesos!E24,2)</f>
        <v>#VALUE!</v>
      </c>
      <c r="H35" t="str">
        <f t="shared" si="8"/>
        <v>-</v>
      </c>
      <c r="I35" t="str">
        <f t="shared" si="9"/>
        <v>-</v>
      </c>
      <c r="J35" t="e">
        <f>ROUND(I35*Por_Excesos!E24,2)</f>
        <v>#VALUE!</v>
      </c>
      <c r="K35" t="str">
        <f t="shared" si="10"/>
        <v>-</v>
      </c>
      <c r="M35">
        <v>0.26</v>
      </c>
      <c r="N35">
        <v>0.051056</v>
      </c>
      <c r="O35">
        <v>0.062332</v>
      </c>
      <c r="P35">
        <f t="shared" si="6"/>
        <v>3.71</v>
      </c>
      <c r="S35" s="38">
        <f t="shared" si="0"/>
        <v>298</v>
      </c>
      <c r="T35" s="38">
        <f t="shared" si="1"/>
        <v>298</v>
      </c>
      <c r="U35" s="31">
        <v>298</v>
      </c>
      <c r="V35" s="6" t="s">
        <v>135</v>
      </c>
      <c r="W35" s="27" t="s">
        <v>136</v>
      </c>
      <c r="X35" s="28">
        <v>440</v>
      </c>
      <c r="Y35" s="31">
        <v>360</v>
      </c>
      <c r="Z35" s="31">
        <v>298</v>
      </c>
      <c r="AA35" s="27" t="s">
        <v>88</v>
      </c>
      <c r="AB35" s="30">
        <v>50</v>
      </c>
    </row>
    <row r="36" spans="1:28" ht="12.75">
      <c r="A36" t="s">
        <v>13</v>
      </c>
      <c r="B36" t="str">
        <f>IF(Por_Excesos!$C$17=3,"-",COS(ATAN((Por_Excesos!E25+Por_Excesos!D25*0.33)/Por_Excesos!D25)))</f>
        <v>-</v>
      </c>
      <c r="C36" s="14" t="str">
        <f>IF(ISERROR(B36),"-",IF(B36="-","-",ROUND(B36,2)))</f>
        <v>-</v>
      </c>
      <c r="D36">
        <f>Por_Excesos!E25+Por_Excesos!D25*0.33</f>
        <v>0</v>
      </c>
      <c r="E36" t="str">
        <f>IF(D36&lt;=0,"-",IF(Por_Excesos!$C$17=3,"-",D36))</f>
        <v>-</v>
      </c>
      <c r="F36" t="str">
        <f t="shared" si="7"/>
        <v>-</v>
      </c>
      <c r="G36" t="e">
        <f>ROUND(F36*Por_Excesos!E25,2)</f>
        <v>#VALUE!</v>
      </c>
      <c r="H36" t="str">
        <f t="shared" si="8"/>
        <v>-</v>
      </c>
      <c r="I36" t="str">
        <f t="shared" si="9"/>
        <v>-</v>
      </c>
      <c r="J36" t="e">
        <f>ROUND(I36*Por_Excesos!E25,2)</f>
        <v>#VALUE!</v>
      </c>
      <c r="K36" t="str">
        <f t="shared" si="10"/>
        <v>-</v>
      </c>
      <c r="M36">
        <f aca="true" t="shared" si="11" ref="M36:M74">M35+0.01</f>
        <v>0.27</v>
      </c>
      <c r="N36">
        <v>0.051056</v>
      </c>
      <c r="O36">
        <v>0.062332</v>
      </c>
      <c r="P36">
        <f t="shared" si="6"/>
        <v>3.57</v>
      </c>
      <c r="S36" s="38">
        <f t="shared" si="0"/>
        <v>322</v>
      </c>
      <c r="T36" s="38">
        <f t="shared" si="1"/>
        <v>322</v>
      </c>
      <c r="U36" s="31">
        <v>322</v>
      </c>
      <c r="V36" s="6" t="s">
        <v>137</v>
      </c>
      <c r="W36" s="27" t="s">
        <v>138</v>
      </c>
      <c r="X36" s="28">
        <v>440</v>
      </c>
      <c r="Y36" s="31">
        <v>390</v>
      </c>
      <c r="Z36" s="31">
        <v>322</v>
      </c>
      <c r="AA36" s="27" t="s">
        <v>68</v>
      </c>
      <c r="AB36" s="30">
        <v>50</v>
      </c>
    </row>
    <row r="37" spans="1:28" ht="12.75">
      <c r="A37" t="s">
        <v>14</v>
      </c>
      <c r="B37" t="str">
        <f>IF(Por_Excesos!$C$17=3,"-",COS(ATAN((Por_Excesos!E26+Por_Excesos!D26*0.33)/Por_Excesos!D26)))</f>
        <v>-</v>
      </c>
      <c r="C37" s="14" t="str">
        <f>IF(ISERROR(B37),"-",IF(B37="-","-",ROUND(B37,2)))</f>
        <v>-</v>
      </c>
      <c r="D37">
        <f>Por_Excesos!E26+Por_Excesos!D26*0.33</f>
        <v>0</v>
      </c>
      <c r="E37" t="str">
        <f>IF(D37&lt;=0,"-",IF(Por_Excesos!$C$17=3,"-",D37))</f>
        <v>-</v>
      </c>
      <c r="F37" t="str">
        <f t="shared" si="7"/>
        <v>-</v>
      </c>
      <c r="G37" t="e">
        <f>IF(Por_Excesos!C17=6,"-",ROUND(F37*Por_Excesos!E26,2))</f>
        <v>#VALUE!</v>
      </c>
      <c r="H37" t="str">
        <f t="shared" si="8"/>
        <v>-</v>
      </c>
      <c r="I37" t="str">
        <f t="shared" si="9"/>
        <v>-</v>
      </c>
      <c r="J37" t="e">
        <f>IF(Por_Excesos!C17=6,"-",ROUND(I37*Por_Excesos!E26,2))</f>
        <v>#VALUE!</v>
      </c>
      <c r="K37" t="str">
        <f t="shared" si="10"/>
        <v>-</v>
      </c>
      <c r="M37">
        <f t="shared" si="11"/>
        <v>0.28</v>
      </c>
      <c r="N37">
        <v>0.051056</v>
      </c>
      <c r="O37">
        <v>0.062332</v>
      </c>
      <c r="P37">
        <f t="shared" si="6"/>
        <v>3.43</v>
      </c>
      <c r="S37" s="38">
        <f t="shared" si="0"/>
        <v>347</v>
      </c>
      <c r="T37" s="38">
        <f t="shared" si="1"/>
        <v>347</v>
      </c>
      <c r="U37" s="31">
        <v>347</v>
      </c>
      <c r="V37" s="6" t="s">
        <v>139</v>
      </c>
      <c r="W37" s="27" t="s">
        <v>140</v>
      </c>
      <c r="X37" s="28">
        <v>440</v>
      </c>
      <c r="Y37" s="31">
        <v>420</v>
      </c>
      <c r="Z37" s="31">
        <v>347</v>
      </c>
      <c r="AA37" s="27" t="s">
        <v>88</v>
      </c>
      <c r="AB37" s="30">
        <v>50</v>
      </c>
    </row>
    <row r="38" spans="13:28" ht="12.75">
      <c r="M38">
        <f t="shared" si="11"/>
        <v>0.29000000000000004</v>
      </c>
      <c r="N38">
        <v>0.051056</v>
      </c>
      <c r="O38">
        <v>0.062332</v>
      </c>
      <c r="P38">
        <f t="shared" si="6"/>
        <v>3.3</v>
      </c>
      <c r="S38" s="38">
        <f t="shared" si="0"/>
        <v>372</v>
      </c>
      <c r="T38" s="38">
        <f t="shared" si="1"/>
        <v>372</v>
      </c>
      <c r="U38" s="31">
        <v>372</v>
      </c>
      <c r="V38" s="6" t="s">
        <v>141</v>
      </c>
      <c r="W38" s="27" t="s">
        <v>142</v>
      </c>
      <c r="X38" s="28">
        <v>440</v>
      </c>
      <c r="Y38" s="31">
        <v>450</v>
      </c>
      <c r="Z38" s="31">
        <v>372</v>
      </c>
      <c r="AA38" s="27" t="s">
        <v>68</v>
      </c>
      <c r="AB38" s="30">
        <v>50</v>
      </c>
    </row>
    <row r="39" spans="2:28" ht="25.5">
      <c r="B39" t="s">
        <v>186</v>
      </c>
      <c r="C39" s="84" t="s">
        <v>187</v>
      </c>
      <c r="D39" s="13"/>
      <c r="F39" s="13" t="s">
        <v>15</v>
      </c>
      <c r="G39" s="13"/>
      <c r="M39">
        <f t="shared" si="11"/>
        <v>0.30000000000000004</v>
      </c>
      <c r="N39">
        <v>0.051056</v>
      </c>
      <c r="O39">
        <v>0.062332</v>
      </c>
      <c r="P39">
        <f t="shared" si="6"/>
        <v>3.18</v>
      </c>
      <c r="S39" s="38">
        <f t="shared" si="0"/>
        <v>397</v>
      </c>
      <c r="T39" s="38">
        <f t="shared" si="1"/>
        <v>397</v>
      </c>
      <c r="U39" s="31">
        <v>397</v>
      </c>
      <c r="V39" s="6" t="s">
        <v>143</v>
      </c>
      <c r="W39" s="27" t="s">
        <v>144</v>
      </c>
      <c r="X39" s="28">
        <v>440</v>
      </c>
      <c r="Y39" s="31">
        <v>480</v>
      </c>
      <c r="Z39" s="31">
        <v>397</v>
      </c>
      <c r="AA39" s="27" t="s">
        <v>88</v>
      </c>
      <c r="AB39" s="30">
        <v>50</v>
      </c>
    </row>
    <row r="40" spans="1:28" ht="12.75">
      <c r="A40" t="s">
        <v>9</v>
      </c>
      <c r="B40" s="3" t="e">
        <f>IF(Por_Excesos!$C$17=3,Por_Excesos!D21/(Por_Excesos!$D$21+Por_Excesos!$D$22),Por_Excesos!D21/(Por_Excesos!$D$21+Por_Excesos!$D$22+Por_Excesos!$D$23+Por_Excesos!$D$24+Por_Excesos!$D$25))</f>
        <v>#DIV/0!</v>
      </c>
      <c r="C40" s="3" t="e">
        <f>IF(B40=0,"-",B40*C32)</f>
        <v>#DIV/0!</v>
      </c>
      <c r="D40" s="3"/>
      <c r="F40" s="3">
        <f>Por_Excesos!F21</f>
        <v>0</v>
      </c>
      <c r="G40" s="14"/>
      <c r="M40">
        <f t="shared" si="11"/>
        <v>0.31000000000000005</v>
      </c>
      <c r="N40">
        <v>0.051056</v>
      </c>
      <c r="O40">
        <v>0.062332</v>
      </c>
      <c r="P40">
        <f t="shared" si="6"/>
        <v>3.07</v>
      </c>
      <c r="S40" s="38">
        <f t="shared" si="0"/>
        <v>372</v>
      </c>
      <c r="T40" s="38">
        <f t="shared" si="1"/>
        <v>372</v>
      </c>
      <c r="U40" s="31">
        <v>372</v>
      </c>
      <c r="V40" s="6" t="s">
        <v>145</v>
      </c>
      <c r="W40" s="27" t="s">
        <v>146</v>
      </c>
      <c r="X40" s="28">
        <v>440</v>
      </c>
      <c r="Y40" s="31">
        <v>450</v>
      </c>
      <c r="Z40" s="31">
        <v>372</v>
      </c>
      <c r="AA40" s="27" t="s">
        <v>68</v>
      </c>
      <c r="AB40" s="30">
        <v>50</v>
      </c>
    </row>
    <row r="41" spans="1:28" ht="12.75">
      <c r="A41" t="s">
        <v>10</v>
      </c>
      <c r="B41" s="3" t="e">
        <f>IF(Por_Excesos!$C$17=3,Por_Excesos!D22/(Por_Excesos!$D$21+Por_Excesos!$D$22),Por_Excesos!D22/(Por_Excesos!$D$21+Por_Excesos!$D$22+Por_Excesos!$D$23+Por_Excesos!$D$24+Por_Excesos!$D$25))</f>
        <v>#DIV/0!</v>
      </c>
      <c r="C41" s="3" t="e">
        <f>IF(B41=0,"-",B41*C33)</f>
        <v>#DIV/0!</v>
      </c>
      <c r="D41" s="3"/>
      <c r="E41" s="3"/>
      <c r="F41" s="3">
        <f>Por_Excesos!F22</f>
        <v>0</v>
      </c>
      <c r="G41" s="14"/>
      <c r="M41">
        <f t="shared" si="11"/>
        <v>0.32000000000000006</v>
      </c>
      <c r="N41">
        <v>0.051056</v>
      </c>
      <c r="O41">
        <v>0.062332</v>
      </c>
      <c r="P41">
        <f t="shared" si="6"/>
        <v>2.96</v>
      </c>
      <c r="S41" s="38">
        <f t="shared" si="0"/>
        <v>413</v>
      </c>
      <c r="T41" s="38">
        <f t="shared" si="1"/>
        <v>413</v>
      </c>
      <c r="U41" s="31">
        <v>413</v>
      </c>
      <c r="V41" s="6" t="s">
        <v>147</v>
      </c>
      <c r="W41" s="27" t="s">
        <v>148</v>
      </c>
      <c r="X41" s="28">
        <v>440</v>
      </c>
      <c r="Y41" s="31">
        <v>500</v>
      </c>
      <c r="Z41" s="31">
        <v>413</v>
      </c>
      <c r="AA41" s="27" t="s">
        <v>88</v>
      </c>
      <c r="AB41" s="30">
        <v>50</v>
      </c>
    </row>
    <row r="42" spans="1:28" ht="12.75">
      <c r="A42" t="s">
        <v>11</v>
      </c>
      <c r="B42" s="3">
        <f>IF(Por_Excesos!$C$17=3,0,Por_Excesos!D23/(Por_Excesos!$D$21+Por_Excesos!$D$22+Por_Excesos!$D$23+Por_Excesos!$D$24+Por_Excesos!$D$25))</f>
        <v>0</v>
      </c>
      <c r="C42" s="3" t="str">
        <f>IF(B42=0,"-",B42*C34)</f>
        <v>-</v>
      </c>
      <c r="D42" s="3"/>
      <c r="E42" s="3"/>
      <c r="F42" s="3">
        <f>IF(Por_Excesos!C17=3,0,Por_Excesos!F23)</f>
        <v>0</v>
      </c>
      <c r="G42" s="14"/>
      <c r="M42">
        <f t="shared" si="11"/>
        <v>0.33000000000000007</v>
      </c>
      <c r="N42">
        <v>0.051056</v>
      </c>
      <c r="O42">
        <v>0.062332</v>
      </c>
      <c r="P42">
        <f t="shared" si="6"/>
        <v>2.86</v>
      </c>
      <c r="S42" s="38">
        <f t="shared" si="0"/>
        <v>454</v>
      </c>
      <c r="T42" s="38">
        <f t="shared" si="1"/>
        <v>454</v>
      </c>
      <c r="U42" s="31">
        <v>454</v>
      </c>
      <c r="V42" s="6" t="s">
        <v>149</v>
      </c>
      <c r="W42" s="27" t="s">
        <v>150</v>
      </c>
      <c r="X42" s="28">
        <v>440</v>
      </c>
      <c r="Y42" s="31">
        <v>550</v>
      </c>
      <c r="Z42" s="31">
        <v>454</v>
      </c>
      <c r="AA42" s="27" t="s">
        <v>68</v>
      </c>
      <c r="AB42" s="30">
        <v>50</v>
      </c>
    </row>
    <row r="43" spans="1:28" ht="12.75">
      <c r="A43" t="s">
        <v>12</v>
      </c>
      <c r="B43" s="3" t="e">
        <f>IF(Por_Excesos!$C$17=3,Por_Excesos!D24/(Por_Excesos!$D$21+Por_Excesos!$D$22),Por_Excesos!D24/(Por_Excesos!$D$21+Por_Excesos!$D$22+Por_Excesos!$D$23+Por_Excesos!$D$24+Por_Excesos!$D$25))</f>
        <v>#DIV/0!</v>
      </c>
      <c r="C43" s="3" t="e">
        <f>IF(B43=0,"-",B43*C35)</f>
        <v>#DIV/0!</v>
      </c>
      <c r="D43" s="3"/>
      <c r="E43" s="3"/>
      <c r="F43" s="3">
        <f>IF(Por_Excesos!C17=3,0,Por_Excesos!F24)</f>
        <v>0</v>
      </c>
      <c r="G43" s="14"/>
      <c r="M43">
        <f t="shared" si="11"/>
        <v>0.3400000000000001</v>
      </c>
      <c r="N43">
        <v>0.051056</v>
      </c>
      <c r="O43">
        <v>0.062332</v>
      </c>
      <c r="P43">
        <f t="shared" si="6"/>
        <v>2.77</v>
      </c>
      <c r="S43" s="38">
        <f t="shared" si="0"/>
        <v>496</v>
      </c>
      <c r="T43" s="38">
        <f t="shared" si="1"/>
        <v>496</v>
      </c>
      <c r="U43" s="31">
        <v>496</v>
      </c>
      <c r="V43" s="6" t="s">
        <v>151</v>
      </c>
      <c r="W43" s="27" t="s">
        <v>152</v>
      </c>
      <c r="X43" s="28">
        <v>440</v>
      </c>
      <c r="Y43" s="31">
        <v>600</v>
      </c>
      <c r="Z43" s="31">
        <v>496</v>
      </c>
      <c r="AA43" s="27" t="s">
        <v>88</v>
      </c>
      <c r="AB43" s="30">
        <v>50</v>
      </c>
    </row>
    <row r="44" spans="1:28" ht="12.75">
      <c r="A44" t="s">
        <v>13</v>
      </c>
      <c r="B44" s="3" t="e">
        <f>IF(Por_Excesos!$C$17=3,Por_Excesos!D25/(Por_Excesos!$D$21+Por_Excesos!$D$22),Por_Excesos!D25/(Por_Excesos!$D$21+Por_Excesos!$D$22+Por_Excesos!$D$23+Por_Excesos!$D$24+Por_Excesos!$D$25))</f>
        <v>#DIV/0!</v>
      </c>
      <c r="C44" s="3" t="e">
        <f>IF(B44=0,"-",B44*C36)</f>
        <v>#DIV/0!</v>
      </c>
      <c r="D44" s="3"/>
      <c r="E44" s="3"/>
      <c r="F44" s="3">
        <f>IF(Por_Excesos!C17=3,0,Por_Excesos!F25)</f>
        <v>0</v>
      </c>
      <c r="G44" s="14"/>
      <c r="M44">
        <f t="shared" si="11"/>
        <v>0.3500000000000001</v>
      </c>
      <c r="N44">
        <v>0.051056</v>
      </c>
      <c r="O44">
        <v>0.062332</v>
      </c>
      <c r="P44">
        <f t="shared" si="6"/>
        <v>2.68</v>
      </c>
      <c r="S44" s="38">
        <f t="shared" si="0"/>
        <v>537</v>
      </c>
      <c r="T44" s="38">
        <f t="shared" si="1"/>
        <v>537</v>
      </c>
      <c r="U44" s="31">
        <v>537</v>
      </c>
      <c r="V44" s="6" t="s">
        <v>153</v>
      </c>
      <c r="W44" s="27" t="s">
        <v>154</v>
      </c>
      <c r="X44" s="28">
        <v>440</v>
      </c>
      <c r="Y44" s="31">
        <v>650</v>
      </c>
      <c r="Z44" s="31">
        <v>537</v>
      </c>
      <c r="AA44" s="27" t="s">
        <v>68</v>
      </c>
      <c r="AB44" s="30">
        <v>50</v>
      </c>
    </row>
    <row r="45" spans="1:28" ht="13.5" thickBot="1">
      <c r="A45" t="s">
        <v>14</v>
      </c>
      <c r="B45" s="3">
        <f>0</f>
        <v>0</v>
      </c>
      <c r="C45" s="3" t="str">
        <f>IF(B45=0,"-",B45*C37)</f>
        <v>-</v>
      </c>
      <c r="D45" s="3"/>
      <c r="E45" s="3"/>
      <c r="F45" s="3">
        <f>IF(Por_Excesos!C17=3,0,Por_Excesos!F26)</f>
        <v>0</v>
      </c>
      <c r="G45" s="14" t="s">
        <v>189</v>
      </c>
      <c r="H45" t="s">
        <v>190</v>
      </c>
      <c r="M45">
        <f t="shared" si="11"/>
        <v>0.3600000000000001</v>
      </c>
      <c r="N45">
        <v>0.051056</v>
      </c>
      <c r="O45">
        <v>0.062332</v>
      </c>
      <c r="P45">
        <f t="shared" si="6"/>
        <v>2.59</v>
      </c>
      <c r="S45" s="38">
        <f t="shared" si="0"/>
        <v>579</v>
      </c>
      <c r="T45" s="38">
        <f t="shared" si="1"/>
        <v>579</v>
      </c>
      <c r="U45" s="31">
        <v>579</v>
      </c>
      <c r="V45" s="6" t="s">
        <v>155</v>
      </c>
      <c r="W45" s="27" t="s">
        <v>156</v>
      </c>
      <c r="X45" s="28">
        <v>440</v>
      </c>
      <c r="Y45" s="31">
        <v>700</v>
      </c>
      <c r="Z45" s="31">
        <v>579</v>
      </c>
      <c r="AA45" s="27" t="s">
        <v>88</v>
      </c>
      <c r="AB45" s="30">
        <v>50</v>
      </c>
    </row>
    <row r="46" spans="2:28" ht="26.25" thickBot="1">
      <c r="B46" s="83" t="s">
        <v>188</v>
      </c>
      <c r="C46" s="82" t="e">
        <f>ROUND(SUM(C40:C45),2)</f>
        <v>#DIV/0!</v>
      </c>
      <c r="D46" s="13" t="s">
        <v>34</v>
      </c>
      <c r="E46" s="86">
        <f>VLOOKUP(Por_Consumos!$I$33+0.01,Hoja3!$M$9:$P$109,4,TRUE)</f>
        <v>0</v>
      </c>
      <c r="F46" s="82">
        <f>MAX(F40:F45)</f>
        <v>0</v>
      </c>
      <c r="G46" s="85" t="e">
        <f>F46*(ROUND(TAN(ACOS(C46)),2)-E46)</f>
        <v>#DIV/0!</v>
      </c>
      <c r="H46" t="e">
        <f>ROUND(F46*TAN(ACOS(C46)),2)</f>
        <v>#DIV/0!</v>
      </c>
      <c r="M46">
        <f t="shared" si="11"/>
        <v>0.3700000000000001</v>
      </c>
      <c r="N46">
        <v>0.051056</v>
      </c>
      <c r="O46">
        <v>0.062332</v>
      </c>
      <c r="P46">
        <f t="shared" si="6"/>
        <v>2.51</v>
      </c>
      <c r="S46" s="38">
        <f t="shared" si="0"/>
        <v>620</v>
      </c>
      <c r="T46" s="38">
        <f t="shared" si="1"/>
        <v>620</v>
      </c>
      <c r="U46" s="31">
        <v>620</v>
      </c>
      <c r="V46" s="6" t="s">
        <v>157</v>
      </c>
      <c r="W46" s="27" t="s">
        <v>158</v>
      </c>
      <c r="X46" s="28">
        <v>440</v>
      </c>
      <c r="Y46" s="31">
        <v>750</v>
      </c>
      <c r="Z46" s="31">
        <v>620</v>
      </c>
      <c r="AA46" s="27" t="s">
        <v>68</v>
      </c>
      <c r="AB46" s="30">
        <v>50</v>
      </c>
    </row>
    <row r="47" spans="3:28" ht="12.75">
      <c r="C47" s="100" t="str">
        <f>IF(ISERROR(C46),"-",C46)</f>
        <v>-</v>
      </c>
      <c r="D47" s="100"/>
      <c r="E47" s="100"/>
      <c r="F47" s="100"/>
      <c r="G47" s="100" t="str">
        <f>IF(ISERROR(G46),"0",G46)</f>
        <v>0</v>
      </c>
      <c r="H47" s="100" t="str">
        <f>IF(ISERROR(H46),"0",H46)</f>
        <v>0</v>
      </c>
      <c r="M47">
        <f t="shared" si="11"/>
        <v>0.3800000000000001</v>
      </c>
      <c r="N47">
        <v>0.051056</v>
      </c>
      <c r="O47">
        <v>0.062332</v>
      </c>
      <c r="P47">
        <f t="shared" si="6"/>
        <v>2.43</v>
      </c>
      <c r="S47" s="38">
        <f t="shared" si="0"/>
        <v>661</v>
      </c>
      <c r="T47" s="38">
        <f t="shared" si="1"/>
        <v>661</v>
      </c>
      <c r="U47" s="31">
        <v>661</v>
      </c>
      <c r="V47" s="6" t="s">
        <v>159</v>
      </c>
      <c r="W47" s="27" t="s">
        <v>160</v>
      </c>
      <c r="X47" s="28">
        <v>440</v>
      </c>
      <c r="Y47" s="31">
        <v>800</v>
      </c>
      <c r="Z47" s="31">
        <v>661</v>
      </c>
      <c r="AA47" s="27" t="s">
        <v>88</v>
      </c>
      <c r="AB47" s="30">
        <v>50</v>
      </c>
    </row>
    <row r="48" spans="1:28" ht="12.75">
      <c r="A48" s="5" t="s">
        <v>43</v>
      </c>
      <c r="M48">
        <f t="shared" si="11"/>
        <v>0.3900000000000001</v>
      </c>
      <c r="N48">
        <v>0.051056</v>
      </c>
      <c r="O48">
        <v>0.062332</v>
      </c>
      <c r="P48">
        <f t="shared" si="6"/>
        <v>2.36</v>
      </c>
      <c r="S48" s="38">
        <f t="shared" si="0"/>
        <v>744</v>
      </c>
      <c r="T48" s="38">
        <f t="shared" si="1"/>
        <v>744</v>
      </c>
      <c r="U48" s="31">
        <v>744</v>
      </c>
      <c r="V48" s="6" t="s">
        <v>161</v>
      </c>
      <c r="W48" s="27" t="s">
        <v>162</v>
      </c>
      <c r="X48" s="28">
        <v>440</v>
      </c>
      <c r="Y48" s="31">
        <v>900</v>
      </c>
      <c r="Z48" s="31">
        <v>744</v>
      </c>
      <c r="AA48" s="27" t="s">
        <v>163</v>
      </c>
      <c r="AB48" s="30">
        <v>50</v>
      </c>
    </row>
    <row r="49" spans="13:28" ht="12.75">
      <c r="M49">
        <f t="shared" si="11"/>
        <v>0.40000000000000013</v>
      </c>
      <c r="N49">
        <v>0.051056</v>
      </c>
      <c r="O49">
        <v>0.062332</v>
      </c>
      <c r="P49">
        <f t="shared" si="6"/>
        <v>2.29</v>
      </c>
      <c r="S49" s="38">
        <f t="shared" si="0"/>
        <v>785</v>
      </c>
      <c r="T49" s="38">
        <f t="shared" si="1"/>
        <v>785</v>
      </c>
      <c r="U49" s="31">
        <v>785</v>
      </c>
      <c r="V49" s="6" t="s">
        <v>164</v>
      </c>
      <c r="W49" s="27" t="s">
        <v>165</v>
      </c>
      <c r="X49" s="28">
        <v>440</v>
      </c>
      <c r="Y49" s="31">
        <v>950</v>
      </c>
      <c r="Z49" s="31">
        <v>785</v>
      </c>
      <c r="AA49" s="27" t="s">
        <v>68</v>
      </c>
      <c r="AB49" s="30">
        <v>50</v>
      </c>
    </row>
    <row r="50" spans="1:28" ht="12.75">
      <c r="A50" s="3" t="s">
        <v>42</v>
      </c>
      <c r="B50" s="3" t="str">
        <f>IF(ISERROR(Por_Excesos!F47/Por_Excesos!J27),"-",Por_Excesos!F47/Por_Excesos!J27)</f>
        <v>-</v>
      </c>
      <c r="C50" t="e">
        <f>INT(B50)+1</f>
        <v>#VALUE!</v>
      </c>
      <c r="D50" t="str">
        <f>IF(ISERROR(C50),"-",C50)</f>
        <v>-</v>
      </c>
      <c r="M50">
        <f t="shared" si="11"/>
        <v>0.41000000000000014</v>
      </c>
      <c r="N50">
        <v>0.051056</v>
      </c>
      <c r="O50">
        <v>0.062332</v>
      </c>
      <c r="P50">
        <f t="shared" si="6"/>
        <v>2.22</v>
      </c>
      <c r="S50" s="38">
        <f t="shared" si="0"/>
        <v>826</v>
      </c>
      <c r="T50" s="38">
        <f t="shared" si="1"/>
        <v>826</v>
      </c>
      <c r="U50" s="31">
        <v>826</v>
      </c>
      <c r="V50" s="6" t="s">
        <v>166</v>
      </c>
      <c r="W50" s="27" t="s">
        <v>167</v>
      </c>
      <c r="X50" s="28">
        <v>440</v>
      </c>
      <c r="Y50" s="31">
        <v>1000</v>
      </c>
      <c r="Z50" s="31">
        <v>826</v>
      </c>
      <c r="AA50" s="27" t="s">
        <v>88</v>
      </c>
      <c r="AB50" s="30">
        <v>50</v>
      </c>
    </row>
    <row r="51" spans="13:28" ht="12.75">
      <c r="M51">
        <f t="shared" si="11"/>
        <v>0.42000000000000015</v>
      </c>
      <c r="N51">
        <v>0.051056</v>
      </c>
      <c r="O51">
        <v>0.062332</v>
      </c>
      <c r="P51">
        <f t="shared" si="6"/>
        <v>2.16</v>
      </c>
      <c r="S51" s="38">
        <f t="shared" si="0"/>
        <v>868</v>
      </c>
      <c r="T51" s="38">
        <f t="shared" si="1"/>
        <v>868</v>
      </c>
      <c r="U51" s="31">
        <v>868</v>
      </c>
      <c r="V51" s="6" t="s">
        <v>168</v>
      </c>
      <c r="W51" s="27" t="s">
        <v>169</v>
      </c>
      <c r="X51" s="28">
        <v>440</v>
      </c>
      <c r="Y51" s="31">
        <v>1050</v>
      </c>
      <c r="Z51" s="31">
        <v>868</v>
      </c>
      <c r="AA51" s="27" t="s">
        <v>68</v>
      </c>
      <c r="AB51" s="30">
        <v>50</v>
      </c>
    </row>
    <row r="52" spans="13:28" ht="12.75">
      <c r="M52">
        <f t="shared" si="11"/>
        <v>0.43000000000000016</v>
      </c>
      <c r="N52">
        <v>0.051056</v>
      </c>
      <c r="O52">
        <v>0.062332</v>
      </c>
      <c r="P52">
        <f t="shared" si="6"/>
        <v>2.1</v>
      </c>
      <c r="S52" s="38">
        <f t="shared" si="0"/>
        <v>909</v>
      </c>
      <c r="T52" s="38">
        <f t="shared" si="1"/>
        <v>909</v>
      </c>
      <c r="U52" s="31">
        <v>909</v>
      </c>
      <c r="V52" s="6" t="s">
        <v>170</v>
      </c>
      <c r="W52" s="27" t="s">
        <v>171</v>
      </c>
      <c r="X52" s="28">
        <v>440</v>
      </c>
      <c r="Y52" s="31">
        <v>1100</v>
      </c>
      <c r="Z52" s="31">
        <v>909</v>
      </c>
      <c r="AA52" s="27" t="s">
        <v>88</v>
      </c>
      <c r="AB52" s="30">
        <v>50</v>
      </c>
    </row>
    <row r="53" spans="13:28" ht="12.75">
      <c r="M53">
        <f t="shared" si="11"/>
        <v>0.44000000000000017</v>
      </c>
      <c r="N53">
        <v>0.051056</v>
      </c>
      <c r="O53">
        <v>0.062332</v>
      </c>
      <c r="P53">
        <f t="shared" si="6"/>
        <v>2.04</v>
      </c>
      <c r="S53" s="38">
        <f t="shared" si="0"/>
        <v>950</v>
      </c>
      <c r="T53" s="38">
        <f t="shared" si="1"/>
        <v>950</v>
      </c>
      <c r="U53" s="31">
        <v>950</v>
      </c>
      <c r="V53" s="6" t="s">
        <v>172</v>
      </c>
      <c r="W53" s="27" t="s">
        <v>173</v>
      </c>
      <c r="X53" s="28">
        <v>440</v>
      </c>
      <c r="Y53" s="31">
        <v>1150</v>
      </c>
      <c r="Z53" s="31">
        <v>950</v>
      </c>
      <c r="AA53" s="27" t="s">
        <v>68</v>
      </c>
      <c r="AB53" s="30">
        <v>50</v>
      </c>
    </row>
    <row r="54" spans="13:28" ht="12.75">
      <c r="M54">
        <f t="shared" si="11"/>
        <v>0.4500000000000002</v>
      </c>
      <c r="N54">
        <v>0.051056</v>
      </c>
      <c r="O54">
        <v>0.062332</v>
      </c>
      <c r="P54">
        <f t="shared" si="6"/>
        <v>1.98</v>
      </c>
      <c r="S54" s="38">
        <f t="shared" si="0"/>
        <v>992</v>
      </c>
      <c r="T54" s="38">
        <f t="shared" si="1"/>
        <v>992</v>
      </c>
      <c r="U54" s="31">
        <v>992</v>
      </c>
      <c r="V54" s="6" t="s">
        <v>174</v>
      </c>
      <c r="W54" s="27" t="s">
        <v>175</v>
      </c>
      <c r="X54" s="28">
        <v>440</v>
      </c>
      <c r="Y54" s="31">
        <v>1200</v>
      </c>
      <c r="Z54" s="31">
        <v>992</v>
      </c>
      <c r="AA54" s="27" t="s">
        <v>88</v>
      </c>
      <c r="AB54" s="30">
        <v>50</v>
      </c>
    </row>
    <row r="55" spans="13:28" ht="12.75">
      <c r="M55">
        <f t="shared" si="11"/>
        <v>0.4600000000000002</v>
      </c>
      <c r="N55">
        <v>0.051056</v>
      </c>
      <c r="O55">
        <v>0.062332</v>
      </c>
      <c r="P55">
        <f t="shared" si="6"/>
        <v>1.93</v>
      </c>
      <c r="S55" s="38">
        <f t="shared" si="0"/>
        <v>1074</v>
      </c>
      <c r="T55" s="38">
        <f t="shared" si="1"/>
        <v>1074</v>
      </c>
      <c r="U55" s="31">
        <v>1074</v>
      </c>
      <c r="V55" s="6" t="s">
        <v>176</v>
      </c>
      <c r="W55" s="27" t="s">
        <v>177</v>
      </c>
      <c r="X55" s="28">
        <v>440</v>
      </c>
      <c r="Y55" s="31">
        <v>1300</v>
      </c>
      <c r="Z55" s="31">
        <v>1074</v>
      </c>
      <c r="AA55" s="27" t="s">
        <v>88</v>
      </c>
      <c r="AB55" s="30">
        <v>50</v>
      </c>
    </row>
    <row r="56" spans="13:28" ht="12.75">
      <c r="M56">
        <f t="shared" si="11"/>
        <v>0.4700000000000002</v>
      </c>
      <c r="N56">
        <v>0.051056</v>
      </c>
      <c r="O56">
        <v>0.062332</v>
      </c>
      <c r="P56">
        <f t="shared" si="6"/>
        <v>1.88</v>
      </c>
      <c r="S56" s="38">
        <f t="shared" si="0"/>
        <v>1157</v>
      </c>
      <c r="T56" s="38">
        <f t="shared" si="1"/>
        <v>1157</v>
      </c>
      <c r="U56" s="31">
        <v>1157</v>
      </c>
      <c r="V56" s="6" t="s">
        <v>178</v>
      </c>
      <c r="W56" s="27" t="s">
        <v>179</v>
      </c>
      <c r="X56" s="28">
        <v>440</v>
      </c>
      <c r="Y56" s="31">
        <v>1400</v>
      </c>
      <c r="Z56" s="31">
        <v>1157</v>
      </c>
      <c r="AA56" s="27" t="s">
        <v>88</v>
      </c>
      <c r="AB56" s="30">
        <v>50</v>
      </c>
    </row>
    <row r="57" spans="13:28" ht="12.75">
      <c r="M57">
        <f t="shared" si="11"/>
        <v>0.4800000000000002</v>
      </c>
      <c r="N57">
        <v>0.051056</v>
      </c>
      <c r="O57">
        <v>0.062332</v>
      </c>
      <c r="P57">
        <f t="shared" si="6"/>
        <v>1.83</v>
      </c>
      <c r="S57" s="38">
        <f t="shared" si="0"/>
        <v>1240</v>
      </c>
      <c r="T57" s="38">
        <f t="shared" si="1"/>
        <v>1240</v>
      </c>
      <c r="U57" s="31">
        <v>1240</v>
      </c>
      <c r="V57" s="6" t="s">
        <v>180</v>
      </c>
      <c r="W57" s="27" t="s">
        <v>181</v>
      </c>
      <c r="X57" s="28">
        <v>440</v>
      </c>
      <c r="Y57" s="31">
        <v>1500</v>
      </c>
      <c r="Z57" s="31">
        <v>1240</v>
      </c>
      <c r="AA57" s="27" t="s">
        <v>68</v>
      </c>
      <c r="AB57" s="30">
        <v>50</v>
      </c>
    </row>
    <row r="58" spans="13:28" ht="13.5" thickBot="1">
      <c r="M58">
        <f t="shared" si="11"/>
        <v>0.4900000000000002</v>
      </c>
      <c r="N58">
        <v>0.051056</v>
      </c>
      <c r="O58">
        <v>0.062332</v>
      </c>
      <c r="P58">
        <f t="shared" si="6"/>
        <v>1.78</v>
      </c>
      <c r="S58" s="38">
        <f t="shared" si="0"/>
        <v>1322</v>
      </c>
      <c r="T58" s="38">
        <f t="shared" si="1"/>
        <v>1322</v>
      </c>
      <c r="U58" s="36">
        <v>1322</v>
      </c>
      <c r="V58" s="33" t="s">
        <v>182</v>
      </c>
      <c r="W58" s="34" t="s">
        <v>183</v>
      </c>
      <c r="X58" s="35">
        <v>440</v>
      </c>
      <c r="Y58" s="36">
        <v>1600</v>
      </c>
      <c r="Z58" s="36">
        <v>1322</v>
      </c>
      <c r="AA58" s="34" t="s">
        <v>163</v>
      </c>
      <c r="AB58" s="37">
        <v>50</v>
      </c>
    </row>
    <row r="59" spans="13:16" ht="12.75">
      <c r="M59">
        <f t="shared" si="11"/>
        <v>0.5000000000000002</v>
      </c>
      <c r="N59">
        <v>0.051056</v>
      </c>
      <c r="O59">
        <v>0.062332</v>
      </c>
      <c r="P59">
        <f t="shared" si="6"/>
        <v>1.73</v>
      </c>
    </row>
    <row r="60" spans="13:16" ht="12.75">
      <c r="M60">
        <f t="shared" si="11"/>
        <v>0.5100000000000002</v>
      </c>
      <c r="N60">
        <v>0.051056</v>
      </c>
      <c r="O60">
        <v>0.062332</v>
      </c>
      <c r="P60">
        <f t="shared" si="6"/>
        <v>1.69</v>
      </c>
    </row>
    <row r="61" spans="13:16" ht="12.75">
      <c r="M61">
        <f t="shared" si="11"/>
        <v>0.5200000000000002</v>
      </c>
      <c r="N61">
        <v>0.051056</v>
      </c>
      <c r="O61">
        <v>0.062332</v>
      </c>
      <c r="P61">
        <f t="shared" si="6"/>
        <v>1.64</v>
      </c>
    </row>
    <row r="62" spans="13:16" ht="12.75">
      <c r="M62">
        <f t="shared" si="11"/>
        <v>0.5300000000000002</v>
      </c>
      <c r="N62">
        <v>0.051056</v>
      </c>
      <c r="O62">
        <v>0.062332</v>
      </c>
      <c r="P62">
        <f t="shared" si="6"/>
        <v>1.6</v>
      </c>
    </row>
    <row r="63" spans="13:16" ht="12.75">
      <c r="M63">
        <f t="shared" si="11"/>
        <v>0.5400000000000003</v>
      </c>
      <c r="N63">
        <v>0.051056</v>
      </c>
      <c r="O63">
        <v>0.062332</v>
      </c>
      <c r="P63">
        <f t="shared" si="6"/>
        <v>1.56</v>
      </c>
    </row>
    <row r="64" spans="13:16" ht="12.75">
      <c r="M64">
        <f t="shared" si="11"/>
        <v>0.5500000000000003</v>
      </c>
      <c r="N64">
        <v>0.051056</v>
      </c>
      <c r="O64">
        <v>0.062332</v>
      </c>
      <c r="P64">
        <f t="shared" si="6"/>
        <v>1.52</v>
      </c>
    </row>
    <row r="65" spans="13:16" ht="12.75">
      <c r="M65">
        <f t="shared" si="11"/>
        <v>0.5600000000000003</v>
      </c>
      <c r="N65">
        <v>0.051056</v>
      </c>
      <c r="O65">
        <v>0.062332</v>
      </c>
      <c r="P65">
        <f t="shared" si="6"/>
        <v>1.48</v>
      </c>
    </row>
    <row r="66" spans="13:16" ht="12.75">
      <c r="M66">
        <f t="shared" si="11"/>
        <v>0.5700000000000003</v>
      </c>
      <c r="N66">
        <v>0.051056</v>
      </c>
      <c r="O66">
        <v>0.062332</v>
      </c>
      <c r="P66">
        <f t="shared" si="6"/>
        <v>1.44</v>
      </c>
    </row>
    <row r="67" spans="13:16" ht="12.75">
      <c r="M67">
        <f t="shared" si="11"/>
        <v>0.5800000000000003</v>
      </c>
      <c r="N67">
        <v>0.051056</v>
      </c>
      <c r="O67">
        <v>0.062332</v>
      </c>
      <c r="P67">
        <f t="shared" si="6"/>
        <v>1.4</v>
      </c>
    </row>
    <row r="68" spans="13:16" ht="12.75">
      <c r="M68">
        <f t="shared" si="11"/>
        <v>0.5900000000000003</v>
      </c>
      <c r="N68">
        <v>0.051056</v>
      </c>
      <c r="O68">
        <v>0.062332</v>
      </c>
      <c r="P68">
        <f t="shared" si="6"/>
        <v>1.37</v>
      </c>
    </row>
    <row r="69" spans="13:16" ht="12.75">
      <c r="M69">
        <f t="shared" si="11"/>
        <v>0.6000000000000003</v>
      </c>
      <c r="N69">
        <v>0.051056</v>
      </c>
      <c r="O69">
        <v>0.062332</v>
      </c>
      <c r="P69">
        <f t="shared" si="6"/>
        <v>1.33</v>
      </c>
    </row>
    <row r="70" spans="13:16" ht="12.75">
      <c r="M70">
        <f t="shared" si="11"/>
        <v>0.6100000000000003</v>
      </c>
      <c r="N70">
        <v>0.051056</v>
      </c>
      <c r="O70">
        <v>0.062332</v>
      </c>
      <c r="P70">
        <f t="shared" si="6"/>
        <v>1.3</v>
      </c>
    </row>
    <row r="71" spans="13:16" ht="12.75">
      <c r="M71">
        <f t="shared" si="11"/>
        <v>0.6200000000000003</v>
      </c>
      <c r="N71">
        <v>0.051056</v>
      </c>
      <c r="O71">
        <v>0.062332</v>
      </c>
      <c r="P71">
        <f t="shared" si="6"/>
        <v>1.27</v>
      </c>
    </row>
    <row r="72" spans="13:16" ht="12.75">
      <c r="M72">
        <f t="shared" si="11"/>
        <v>0.6300000000000003</v>
      </c>
      <c r="N72">
        <v>0.051056</v>
      </c>
      <c r="O72">
        <v>0.062332</v>
      </c>
      <c r="P72">
        <f t="shared" si="6"/>
        <v>1.23</v>
      </c>
    </row>
    <row r="73" spans="13:16" ht="12.75">
      <c r="M73">
        <f t="shared" si="11"/>
        <v>0.6400000000000003</v>
      </c>
      <c r="N73">
        <v>0.051056</v>
      </c>
      <c r="O73">
        <v>0.062332</v>
      </c>
      <c r="P73">
        <f aca="true" t="shared" si="12" ref="P73:P108">ROUND(TAN(ACOS(M73)),2)</f>
        <v>1.2</v>
      </c>
    </row>
    <row r="74" spans="13:16" ht="12.75">
      <c r="M74">
        <f t="shared" si="11"/>
        <v>0.6500000000000004</v>
      </c>
      <c r="N74">
        <v>0.051056</v>
      </c>
      <c r="O74">
        <v>0.062332</v>
      </c>
      <c r="P74">
        <f t="shared" si="12"/>
        <v>1.17</v>
      </c>
    </row>
    <row r="75" spans="13:16" ht="12.75">
      <c r="M75">
        <f aca="true" t="shared" si="13" ref="M75:M108">M74+0.01</f>
        <v>0.6600000000000004</v>
      </c>
      <c r="N75">
        <v>0.051056</v>
      </c>
      <c r="O75">
        <v>0.062332</v>
      </c>
      <c r="P75">
        <f t="shared" si="12"/>
        <v>1.14</v>
      </c>
    </row>
    <row r="76" spans="13:16" ht="12.75">
      <c r="M76">
        <f t="shared" si="13"/>
        <v>0.6700000000000004</v>
      </c>
      <c r="N76">
        <v>0.051056</v>
      </c>
      <c r="O76">
        <v>0.062332</v>
      </c>
      <c r="P76">
        <f t="shared" si="12"/>
        <v>1.11</v>
      </c>
    </row>
    <row r="77" spans="13:16" ht="12.75">
      <c r="M77">
        <f t="shared" si="13"/>
        <v>0.6800000000000004</v>
      </c>
      <c r="N77">
        <v>0.051056</v>
      </c>
      <c r="O77">
        <v>0.062332</v>
      </c>
      <c r="P77">
        <f t="shared" si="12"/>
        <v>1.08</v>
      </c>
    </row>
    <row r="78" spans="13:16" ht="12.75">
      <c r="M78">
        <f t="shared" si="13"/>
        <v>0.6900000000000004</v>
      </c>
      <c r="N78">
        <v>0.051056</v>
      </c>
      <c r="O78">
        <v>0.062332</v>
      </c>
      <c r="P78">
        <f t="shared" si="12"/>
        <v>1.05</v>
      </c>
    </row>
    <row r="79" spans="13:16" ht="12.75">
      <c r="M79">
        <f t="shared" si="13"/>
        <v>0.7000000000000004</v>
      </c>
      <c r="N79">
        <v>0.051056</v>
      </c>
      <c r="O79">
        <v>0.062332</v>
      </c>
      <c r="P79">
        <f t="shared" si="12"/>
        <v>1.02</v>
      </c>
    </row>
    <row r="80" spans="13:16" ht="12.75">
      <c r="M80">
        <f t="shared" si="13"/>
        <v>0.7100000000000004</v>
      </c>
      <c r="N80">
        <v>0.051056</v>
      </c>
      <c r="O80">
        <v>0.062332</v>
      </c>
      <c r="P80">
        <f t="shared" si="12"/>
        <v>0.99</v>
      </c>
    </row>
    <row r="81" spans="13:16" ht="12.75">
      <c r="M81">
        <f t="shared" si="13"/>
        <v>0.7200000000000004</v>
      </c>
      <c r="N81">
        <v>0.051056</v>
      </c>
      <c r="O81">
        <v>0.062332</v>
      </c>
      <c r="P81">
        <f t="shared" si="12"/>
        <v>0.96</v>
      </c>
    </row>
    <row r="82" spans="13:16" ht="12.75">
      <c r="M82">
        <f t="shared" si="13"/>
        <v>0.7300000000000004</v>
      </c>
      <c r="N82">
        <v>0.051056</v>
      </c>
      <c r="O82">
        <v>0.062332</v>
      </c>
      <c r="P82">
        <f t="shared" si="12"/>
        <v>0.94</v>
      </c>
    </row>
    <row r="83" spans="13:16" ht="12.75">
      <c r="M83">
        <f t="shared" si="13"/>
        <v>0.7400000000000004</v>
      </c>
      <c r="N83">
        <v>0.051056</v>
      </c>
      <c r="O83">
        <v>0.062332</v>
      </c>
      <c r="P83">
        <f t="shared" si="12"/>
        <v>0.91</v>
      </c>
    </row>
    <row r="84" spans="13:16" ht="12.75">
      <c r="M84">
        <f t="shared" si="13"/>
        <v>0.7500000000000004</v>
      </c>
      <c r="N84">
        <v>0.051056</v>
      </c>
      <c r="O84">
        <v>0.062332</v>
      </c>
      <c r="P84">
        <f t="shared" si="12"/>
        <v>0.88</v>
      </c>
    </row>
    <row r="85" spans="13:16" ht="12.75">
      <c r="M85">
        <f t="shared" si="13"/>
        <v>0.7600000000000005</v>
      </c>
      <c r="N85">
        <v>0.051056</v>
      </c>
      <c r="O85">
        <v>0.062332</v>
      </c>
      <c r="P85">
        <f t="shared" si="12"/>
        <v>0.86</v>
      </c>
    </row>
    <row r="86" spans="13:16" ht="12.75">
      <c r="M86">
        <f t="shared" si="13"/>
        <v>0.7700000000000005</v>
      </c>
      <c r="N86">
        <v>0.051056</v>
      </c>
      <c r="O86">
        <v>0.062332</v>
      </c>
      <c r="P86">
        <f t="shared" si="12"/>
        <v>0.83</v>
      </c>
    </row>
    <row r="87" spans="13:16" ht="12.75">
      <c r="M87">
        <f t="shared" si="13"/>
        <v>0.7800000000000005</v>
      </c>
      <c r="N87">
        <v>0.051056</v>
      </c>
      <c r="O87">
        <v>0.062332</v>
      </c>
      <c r="P87">
        <f t="shared" si="12"/>
        <v>0.8</v>
      </c>
    </row>
    <row r="88" spans="13:16" ht="12.75">
      <c r="M88">
        <f t="shared" si="13"/>
        <v>0.7900000000000005</v>
      </c>
      <c r="N88">
        <v>0.051056</v>
      </c>
      <c r="O88">
        <v>0.062332</v>
      </c>
      <c r="P88">
        <f t="shared" si="12"/>
        <v>0.78</v>
      </c>
    </row>
    <row r="89" spans="13:16" ht="12.75">
      <c r="M89">
        <f t="shared" si="13"/>
        <v>0.8000000000000005</v>
      </c>
      <c r="N89">
        <v>0.034037</v>
      </c>
      <c r="O89">
        <v>0.041554</v>
      </c>
      <c r="P89">
        <f t="shared" si="12"/>
        <v>0.75</v>
      </c>
    </row>
    <row r="90" spans="13:16" ht="12.75">
      <c r="M90">
        <f t="shared" si="13"/>
        <v>0.8100000000000005</v>
      </c>
      <c r="N90">
        <v>0.034037</v>
      </c>
      <c r="O90">
        <v>0.041554</v>
      </c>
      <c r="P90">
        <f t="shared" si="12"/>
        <v>0.72</v>
      </c>
    </row>
    <row r="91" spans="13:16" ht="12.75">
      <c r="M91">
        <f t="shared" si="13"/>
        <v>0.8200000000000005</v>
      </c>
      <c r="N91">
        <v>0.034037</v>
      </c>
      <c r="O91">
        <v>0.041554</v>
      </c>
      <c r="P91">
        <f t="shared" si="12"/>
        <v>0.7</v>
      </c>
    </row>
    <row r="92" spans="13:16" ht="12.75">
      <c r="M92">
        <f t="shared" si="13"/>
        <v>0.8300000000000005</v>
      </c>
      <c r="N92">
        <v>0.034037</v>
      </c>
      <c r="O92">
        <v>0.041554</v>
      </c>
      <c r="P92">
        <f t="shared" si="12"/>
        <v>0.67</v>
      </c>
    </row>
    <row r="93" spans="13:16" ht="12.75">
      <c r="M93">
        <f t="shared" si="13"/>
        <v>0.8400000000000005</v>
      </c>
      <c r="N93">
        <v>0.034037</v>
      </c>
      <c r="O93">
        <v>0.041554</v>
      </c>
      <c r="P93">
        <f t="shared" si="12"/>
        <v>0.65</v>
      </c>
    </row>
    <row r="94" spans="13:16" ht="12.75">
      <c r="M94">
        <f t="shared" si="13"/>
        <v>0.8500000000000005</v>
      </c>
      <c r="N94">
        <v>0.017018</v>
      </c>
      <c r="O94">
        <v>0.041554</v>
      </c>
      <c r="P94">
        <f t="shared" si="12"/>
        <v>0.62</v>
      </c>
    </row>
    <row r="95" spans="13:16" ht="12.75">
      <c r="M95">
        <f t="shared" si="13"/>
        <v>0.8600000000000005</v>
      </c>
      <c r="N95">
        <v>0.017018</v>
      </c>
      <c r="O95">
        <v>0.041554</v>
      </c>
      <c r="P95">
        <f t="shared" si="12"/>
        <v>0.59</v>
      </c>
    </row>
    <row r="96" spans="13:16" ht="12.75">
      <c r="M96">
        <f t="shared" si="13"/>
        <v>0.8700000000000006</v>
      </c>
      <c r="N96">
        <v>0.017018</v>
      </c>
      <c r="O96">
        <v>0.041554</v>
      </c>
      <c r="P96">
        <f t="shared" si="12"/>
        <v>0.57</v>
      </c>
    </row>
    <row r="97" spans="13:16" ht="12.75">
      <c r="M97">
        <f t="shared" si="13"/>
        <v>0.8800000000000006</v>
      </c>
      <c r="N97">
        <v>0.017018</v>
      </c>
      <c r="O97">
        <v>0.041554</v>
      </c>
      <c r="P97">
        <f t="shared" si="12"/>
        <v>0.54</v>
      </c>
    </row>
    <row r="98" spans="13:16" ht="12.75">
      <c r="M98">
        <f t="shared" si="13"/>
        <v>0.8900000000000006</v>
      </c>
      <c r="N98">
        <v>0.017018</v>
      </c>
      <c r="O98">
        <v>0.041554</v>
      </c>
      <c r="P98">
        <f t="shared" si="12"/>
        <v>0.51</v>
      </c>
    </row>
    <row r="99" spans="13:16" ht="12.75">
      <c r="M99">
        <f t="shared" si="13"/>
        <v>0.9000000000000006</v>
      </c>
      <c r="N99">
        <v>1.3E-05</v>
      </c>
      <c r="O99">
        <v>0.041554</v>
      </c>
      <c r="P99">
        <f t="shared" si="12"/>
        <v>0.48</v>
      </c>
    </row>
    <row r="100" spans="13:16" ht="12.75">
      <c r="M100">
        <f t="shared" si="13"/>
        <v>0.9100000000000006</v>
      </c>
      <c r="N100">
        <v>1.3E-05</v>
      </c>
      <c r="O100">
        <v>0.041554</v>
      </c>
      <c r="P100">
        <f t="shared" si="12"/>
        <v>0.46</v>
      </c>
    </row>
    <row r="101" spans="13:16" ht="12.75">
      <c r="M101">
        <f t="shared" si="13"/>
        <v>0.9200000000000006</v>
      </c>
      <c r="N101">
        <v>1.3E-05</v>
      </c>
      <c r="O101">
        <v>0.041554</v>
      </c>
      <c r="P101">
        <f t="shared" si="12"/>
        <v>0.43</v>
      </c>
    </row>
    <row r="102" spans="13:16" ht="12.75">
      <c r="M102">
        <f t="shared" si="13"/>
        <v>0.9300000000000006</v>
      </c>
      <c r="N102">
        <v>1.3E-05</v>
      </c>
      <c r="O102">
        <v>0.041554</v>
      </c>
      <c r="P102">
        <f t="shared" si="12"/>
        <v>0.4</v>
      </c>
    </row>
    <row r="103" spans="13:16" ht="12.75">
      <c r="M103">
        <f t="shared" si="13"/>
        <v>0.9400000000000006</v>
      </c>
      <c r="N103">
        <v>1.3E-05</v>
      </c>
      <c r="O103">
        <v>0.041554</v>
      </c>
      <c r="P103">
        <f t="shared" si="12"/>
        <v>0.36</v>
      </c>
    </row>
    <row r="104" spans="13:16" ht="12.75">
      <c r="M104">
        <f t="shared" si="13"/>
        <v>0.9500000000000006</v>
      </c>
      <c r="N104">
        <v>0</v>
      </c>
      <c r="O104">
        <v>0</v>
      </c>
      <c r="P104">
        <f t="shared" si="12"/>
        <v>0.33</v>
      </c>
    </row>
    <row r="105" spans="13:16" ht="12.75">
      <c r="M105">
        <f t="shared" si="13"/>
        <v>0.9600000000000006</v>
      </c>
      <c r="N105">
        <v>0</v>
      </c>
      <c r="O105">
        <v>0</v>
      </c>
      <c r="P105">
        <f t="shared" si="12"/>
        <v>0.29</v>
      </c>
    </row>
    <row r="106" spans="13:16" ht="12.75">
      <c r="M106">
        <f t="shared" si="13"/>
        <v>0.9700000000000006</v>
      </c>
      <c r="N106">
        <v>0</v>
      </c>
      <c r="O106">
        <v>0</v>
      </c>
      <c r="P106">
        <f t="shared" si="12"/>
        <v>0.25</v>
      </c>
    </row>
    <row r="107" spans="13:16" ht="12.75">
      <c r="M107">
        <f t="shared" si="13"/>
        <v>0.9800000000000006</v>
      </c>
      <c r="N107">
        <v>0</v>
      </c>
      <c r="O107">
        <v>0</v>
      </c>
      <c r="P107">
        <f t="shared" si="12"/>
        <v>0.2</v>
      </c>
    </row>
    <row r="108" spans="13:16" ht="12.75">
      <c r="M108">
        <f t="shared" si="13"/>
        <v>0.9900000000000007</v>
      </c>
      <c r="N108">
        <v>0</v>
      </c>
      <c r="O108">
        <v>0</v>
      </c>
      <c r="P108">
        <f t="shared" si="12"/>
        <v>0.14</v>
      </c>
    </row>
    <row r="109" spans="13:16" ht="12.75">
      <c r="M109">
        <f>M108+0.01</f>
        <v>1.0000000000000007</v>
      </c>
      <c r="N109">
        <v>0</v>
      </c>
      <c r="O109">
        <v>0</v>
      </c>
      <c r="P109">
        <f>0</f>
        <v>0</v>
      </c>
    </row>
  </sheetData>
  <sheetProtection password="92CB" sheet="1" objects="1" scenario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Francesc Fornieles Castells</Manager>
  <Company>CIRCUTOR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Calculo reactiva tarifas 2010</dc:title>
  <dc:subject/>
  <dc:creator>Francesc Fornieles Castells</dc:creator>
  <cp:keywords>Reactiva, Tarifas 2010</cp:keywords>
  <dc:description/>
  <cp:lastModifiedBy>.</cp:lastModifiedBy>
  <cp:lastPrinted>2010-02-01T16:13:48Z</cp:lastPrinted>
  <dcterms:created xsi:type="dcterms:W3CDTF">1996-11-27T10:00:04Z</dcterms:created>
  <dcterms:modified xsi:type="dcterms:W3CDTF">2010-02-26T16:54:06Z</dcterms:modified>
  <cp:category/>
  <cp:version/>
  <cp:contentType/>
  <cp:contentStatus/>
</cp:coreProperties>
</file>